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45" activeTab="2"/>
  </bookViews>
  <sheets>
    <sheet name="戦績" sheetId="1" r:id="rId1"/>
    <sheet name="Ａ戦" sheetId="2" r:id="rId2"/>
    <sheet name="Ｂ戦" sheetId="3" r:id="rId3"/>
    <sheet name="Ｃ戦" sheetId="4" r:id="rId4"/>
  </sheets>
  <definedNames>
    <definedName name="_xlnm.Print_Area" localSheetId="1">'Ａ戦'!$A$1:$AQ$80</definedName>
    <definedName name="_xlnm.Print_Area" localSheetId="2">'Ｂ戦'!$A$1:$BC$67</definedName>
    <definedName name="_xlnm.Print_Area" localSheetId="3">'Ｃ戦'!$A$1:$BC$66</definedName>
    <definedName name="_xlnm.Print_Area" localSheetId="0">'戦績'!$A$1:$AH$40</definedName>
  </definedNames>
  <calcPr fullCalcOnLoad="1" iterate="1" iterateCount="1" iterateDelta="0.001"/>
</workbook>
</file>

<file path=xl/comments2.xml><?xml version="1.0" encoding="utf-8"?>
<comments xmlns="http://schemas.openxmlformats.org/spreadsheetml/2006/main">
  <authors>
    <author>onozuka</author>
  </authors>
  <commentList>
    <comment ref="A33" authorId="0">
      <text>
        <r>
          <rPr>
            <sz val="9"/>
            <rFont val="ＭＳ Ｐゴシック"/>
            <family val="3"/>
          </rPr>
          <t xml:space="preserve">全勝優勝
</t>
        </r>
      </text>
    </comment>
    <comment ref="A63" authorId="0">
      <text>
        <r>
          <rPr>
            <b/>
            <sz val="9"/>
            <rFont val="ＭＳ Ｐゴシック"/>
            <family val="3"/>
          </rPr>
          <t>全勝優勝</t>
        </r>
      </text>
    </comment>
    <comment ref="A54" authorId="0">
      <text>
        <r>
          <rPr>
            <sz val="9"/>
            <rFont val="ＭＳ Ｐゴシック"/>
            <family val="3"/>
          </rPr>
          <t xml:space="preserve">勝ち点TOPで優勝
</t>
        </r>
      </text>
    </comment>
    <comment ref="A18" authorId="0">
      <text>
        <r>
          <rPr>
            <b/>
            <sz val="9"/>
            <rFont val="ＭＳ Ｐゴシック"/>
            <family val="3"/>
          </rPr>
          <t>勝ち点TOPで優勝</t>
        </r>
      </text>
    </comment>
    <comment ref="A39" authorId="0">
      <text>
        <r>
          <rPr>
            <b/>
            <sz val="9"/>
            <rFont val="ＭＳ Ｐゴシック"/>
            <family val="3"/>
          </rPr>
          <t>3チームが勝ち点10で並ぶも得失点差で優勝</t>
        </r>
      </text>
    </comment>
  </commentList>
</comments>
</file>

<file path=xl/comments3.xml><?xml version="1.0" encoding="utf-8"?>
<comments xmlns="http://schemas.openxmlformats.org/spreadsheetml/2006/main">
  <authors>
    <author>onozuka</author>
  </authors>
  <commentList>
    <comment ref="A50" authorId="0">
      <text>
        <r>
          <rPr>
            <b/>
            <sz val="9"/>
            <rFont val="ＭＳ Ｐゴシック"/>
            <family val="3"/>
          </rPr>
          <t>全勝優勝</t>
        </r>
      </text>
    </comment>
    <comment ref="A38" authorId="0">
      <text>
        <r>
          <rPr>
            <sz val="9"/>
            <rFont val="ＭＳ Ｐゴシック"/>
            <family val="3"/>
          </rPr>
          <t xml:space="preserve">勝ち点TOPで優勝
</t>
        </r>
      </text>
    </comment>
    <comment ref="A8" authorId="0">
      <text>
        <r>
          <rPr>
            <b/>
            <sz val="9"/>
            <rFont val="ＭＳ Ｐゴシック"/>
            <family val="3"/>
          </rPr>
          <t>勝ち点TOPで優勝</t>
        </r>
      </text>
    </comment>
    <comment ref="A19" authorId="0">
      <text>
        <r>
          <rPr>
            <b/>
            <sz val="9"/>
            <rFont val="ＭＳ Ｐゴシック"/>
            <family val="3"/>
          </rPr>
          <t>１試合残すも勝ち点TOPで優勝</t>
        </r>
      </text>
    </comment>
  </commentList>
</comments>
</file>

<file path=xl/comments4.xml><?xml version="1.0" encoding="utf-8"?>
<comments xmlns="http://schemas.openxmlformats.org/spreadsheetml/2006/main">
  <authors>
    <author>onozuka</author>
  </authors>
  <commentList>
    <comment ref="A49" authorId="0">
      <text>
        <r>
          <rPr>
            <b/>
            <sz val="9"/>
            <rFont val="ＭＳ Ｐゴシック"/>
            <family val="3"/>
          </rPr>
          <t>退団による選手不足から参加を辞退（9/30）</t>
        </r>
      </text>
    </comment>
    <comment ref="A18" authorId="0">
      <text>
        <r>
          <rPr>
            <b/>
            <sz val="9"/>
            <rFont val="ＭＳ Ｐゴシック"/>
            <family val="3"/>
          </rPr>
          <t>全勝優勝</t>
        </r>
      </text>
    </comment>
    <comment ref="A46" authorId="0">
      <text>
        <r>
          <rPr>
            <sz val="9"/>
            <rFont val="ＭＳ Ｐゴシック"/>
            <family val="3"/>
          </rPr>
          <t>全勝優勝</t>
        </r>
      </text>
    </comment>
    <comment ref="A37" authorId="0">
      <text>
        <r>
          <rPr>
            <b/>
            <sz val="9"/>
            <rFont val="ＭＳ Ｐゴシック"/>
            <family val="3"/>
          </rPr>
          <t>勝ち点同点も直接対決で勝利で優勝</t>
        </r>
      </text>
    </comment>
  </commentList>
</comments>
</file>

<file path=xl/sharedStrings.xml><?xml version="1.0" encoding="utf-8"?>
<sst xmlns="http://schemas.openxmlformats.org/spreadsheetml/2006/main" count="514" uniqueCount="134">
  <si>
    <t>Ａブロック</t>
  </si>
  <si>
    <t>Ｂブロック</t>
  </si>
  <si>
    <t>Ｃブロック</t>
  </si>
  <si>
    <t>Ｅブロック</t>
  </si>
  <si>
    <t>Ｆブロック</t>
  </si>
  <si>
    <t>決勝トーナメント　　</t>
  </si>
  <si>
    <t>決勝トーナメント</t>
  </si>
  <si>
    <t>勝ち</t>
  </si>
  <si>
    <t>負け</t>
  </si>
  <si>
    <t>引分</t>
  </si>
  <si>
    <t>合計</t>
  </si>
  <si>
    <t>得点</t>
  </si>
  <si>
    <t>失点</t>
  </si>
  <si>
    <t>点差</t>
  </si>
  <si>
    <t>勝点</t>
  </si>
  <si>
    <t>負点</t>
  </si>
  <si>
    <t>引分点</t>
  </si>
  <si>
    <t>2点</t>
  </si>
  <si>
    <t>0点</t>
  </si>
  <si>
    <t>1点</t>
  </si>
  <si>
    <t>勝ち点一位</t>
  </si>
  <si>
    <t>チーム名</t>
  </si>
  <si>
    <t>勝ち点</t>
  </si>
  <si>
    <t>試合数</t>
  </si>
  <si>
    <t>勝ち点一位</t>
  </si>
  <si>
    <t>勝ち点二位</t>
  </si>
  <si>
    <t>勝ち点二位</t>
  </si>
  <si>
    <t>勝ち点一位</t>
  </si>
  <si>
    <t>勝ち点二位</t>
  </si>
  <si>
    <t>勝ち点一位</t>
  </si>
  <si>
    <t>ブロック内試合消化率</t>
  </si>
  <si>
    <t>Dブロック</t>
  </si>
  <si>
    <t>順位</t>
  </si>
  <si>
    <t>チーム名</t>
  </si>
  <si>
    <t>勝点</t>
  </si>
  <si>
    <t>勝利数</t>
  </si>
  <si>
    <t>勝ち</t>
  </si>
  <si>
    <t>試合</t>
  </si>
  <si>
    <t>試合数</t>
  </si>
  <si>
    <t>残試合</t>
  </si>
  <si>
    <t>Ｃ戦　　ブロック別成績</t>
  </si>
  <si>
    <t>Ｂ戦　　ブロック別成績</t>
  </si>
  <si>
    <t>Ａ戦　　ブロック別成績</t>
  </si>
  <si>
    <t>クラス別消化率</t>
  </si>
  <si>
    <t>試合数</t>
  </si>
  <si>
    <t>消化率</t>
  </si>
  <si>
    <t>Ａクラス</t>
  </si>
  <si>
    <t>Ｂクラス</t>
  </si>
  <si>
    <t>Ｃクラス</t>
  </si>
  <si>
    <t>全体消化率</t>
  </si>
  <si>
    <t>以上</t>
  </si>
  <si>
    <t>現在</t>
  </si>
  <si>
    <t>Ａブロック</t>
  </si>
  <si>
    <t>勝ち点一位</t>
  </si>
  <si>
    <t>勝ち点二位</t>
  </si>
  <si>
    <t>ブロック内試合消化率</t>
  </si>
  <si>
    <t>2点</t>
  </si>
  <si>
    <t>0点</t>
  </si>
  <si>
    <t>1点</t>
  </si>
  <si>
    <t>勝点</t>
  </si>
  <si>
    <t>負点</t>
  </si>
  <si>
    <t>引分点</t>
  </si>
  <si>
    <t>合計</t>
  </si>
  <si>
    <t>チーム名</t>
  </si>
  <si>
    <t>勝ち点</t>
  </si>
  <si>
    <t>試合</t>
  </si>
  <si>
    <t>試合数</t>
  </si>
  <si>
    <t>Ｄブロック</t>
  </si>
  <si>
    <t>現在</t>
  </si>
  <si>
    <t>日</t>
  </si>
  <si>
    <t>試合可能日あと</t>
  </si>
  <si>
    <t>試合消化必要ペース</t>
  </si>
  <si>
    <t>必要消化ペース</t>
  </si>
  <si>
    <t>Ｃブロック</t>
  </si>
  <si>
    <t>Ｂブロック</t>
  </si>
  <si>
    <t>小金原ビクトリー</t>
  </si>
  <si>
    <t>第1位</t>
  </si>
  <si>
    <t>第2位</t>
  </si>
  <si>
    <t>A</t>
  </si>
  <si>
    <t>にしくぼフェニックス</t>
  </si>
  <si>
    <t>野菊野ファイターズ</t>
  </si>
  <si>
    <t>松戸中央エンジェルス</t>
  </si>
  <si>
    <t>長崎ＦＬＢ</t>
  </si>
  <si>
    <t>木刈ファイターズ</t>
  </si>
  <si>
    <t>柏ドリームス</t>
  </si>
  <si>
    <t>光ヶ丘シャークス</t>
  </si>
  <si>
    <t>我孫子ライオンズ</t>
  </si>
  <si>
    <t>松戸カージナルス</t>
  </si>
  <si>
    <t>高塚新田ラークス</t>
  </si>
  <si>
    <t>常盤平ボーイズ</t>
  </si>
  <si>
    <t>幸房スターズ</t>
  </si>
  <si>
    <t>清水口ファイターズ</t>
  </si>
  <si>
    <t>大津が丘ファイターズ</t>
  </si>
  <si>
    <t>増尾レッドスターズ</t>
  </si>
  <si>
    <t>リトルジャガース</t>
  </si>
  <si>
    <t>リトルベアーズ</t>
  </si>
  <si>
    <t>五香メッツ</t>
  </si>
  <si>
    <t>ヤングスターズ</t>
  </si>
  <si>
    <t>大和田レッズ</t>
  </si>
  <si>
    <t>梅郷パワーズ</t>
  </si>
  <si>
    <t>新柏ツィンズ</t>
  </si>
  <si>
    <t>若草</t>
  </si>
  <si>
    <t>リトルイーグルス</t>
  </si>
  <si>
    <t>馬橋ドリームス</t>
  </si>
  <si>
    <t>双葉</t>
  </si>
  <si>
    <t>流山カージナルス</t>
  </si>
  <si>
    <t>球　人　ズ</t>
  </si>
  <si>
    <t>新富少年野球部</t>
  </si>
  <si>
    <t>サンスパッツ</t>
  </si>
  <si>
    <t>桜台ウィングス</t>
  </si>
  <si>
    <t>セントラルパークス</t>
  </si>
  <si>
    <t>矢切コンドルス</t>
  </si>
  <si>
    <t>牧の原ジュニアーズ</t>
  </si>
  <si>
    <t>藤心ジャガース</t>
  </si>
  <si>
    <t>光インパルス</t>
  </si>
  <si>
    <t>沼南フラワーズ</t>
  </si>
  <si>
    <t>湖北フレンズ</t>
  </si>
  <si>
    <t>串崎スワローズ</t>
  </si>
  <si>
    <t>大橋みどりファイターズ</t>
  </si>
  <si>
    <t>八柱サンジュニアーズ</t>
  </si>
  <si>
    <t>七次台ジャガース</t>
  </si>
  <si>
    <t>松葉ニューセラミックス</t>
  </si>
  <si>
    <t>柏ボーイング</t>
  </si>
  <si>
    <t>新木ファイターズ</t>
  </si>
  <si>
    <t>流山ホークス</t>
  </si>
  <si>
    <t>吉川ドリームズ</t>
  </si>
  <si>
    <t>花井ヤンキース</t>
  </si>
  <si>
    <t>豊上ジュニアーズ</t>
  </si>
  <si>
    <t>リトルキング</t>
  </si>
  <si>
    <t>布佐スパイダース</t>
  </si>
  <si>
    <t>東部フェニックス</t>
  </si>
  <si>
    <t>柏南ギャランツ</t>
  </si>
  <si>
    <t>大津ケ丘ファイタース</t>
  </si>
  <si>
    <t>ＬＢＣ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</si>
</sst>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E+00"/>
    <numFmt numFmtId="178" formatCode="[&lt;=999]000;000\-00"/>
    <numFmt numFmtId="179" formatCode="[&lt;=999]000;[&lt;=99999]000\-00;000\-0000"/>
    <numFmt numFmtId="180" formatCode="\ &quot;-&quot;"/>
    <numFmt numFmtId="181" formatCode="_ * #,##0_ ;_ * \-#,##0_ ;_ * &quot;-&quot;_ "/>
    <numFmt numFmtId="182" formatCode="_ * #0_ ;_ * \-#0_ ;_ * &quot;-&quot;_ "/>
    <numFmt numFmtId="183" formatCode="_ * #,##0_ ;_ * \-#,##0_ ;_ * &quot;&quot;_ ;_ @_ "/>
    <numFmt numFmtId="184" formatCode="_ * #,##0.0_ ;_ * \-#,##0.0_ ;_ * &quot;&quot;_ ;_ @_ "/>
    <numFmt numFmtId="185" formatCode="_ * #,##0.00_ ;_ * \-#,##0.00_ ;_ * &quot;&quot;_ ;_ @_ "/>
    <numFmt numFmtId="186" formatCode="_ * #,##0.000_ ;_ * \-#,##0.000_ ;_ * &quot;&quot;_ ;_ @_ "/>
  </numFmts>
  <fonts count="52">
    <font>
      <sz val="11"/>
      <name val="ＭＳ Ｐゴシック"/>
      <family val="3"/>
    </font>
    <font>
      <sz val="11"/>
      <name val="Arial"/>
      <family val="2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b/>
      <sz val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33" borderId="0" xfId="0" applyFill="1" applyAlignment="1">
      <alignment vertical="center" shrinkToFit="1"/>
    </xf>
    <xf numFmtId="0" fontId="0" fillId="33" borderId="0" xfId="0" applyNumberFormat="1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33" borderId="0" xfId="0" applyFont="1" applyFill="1" applyAlignment="1">
      <alignment vertical="center" shrinkToFit="1"/>
    </xf>
    <xf numFmtId="0" fontId="0" fillId="33" borderId="10" xfId="0" applyFont="1" applyFill="1" applyBorder="1" applyAlignment="1">
      <alignment vertical="center" shrinkToFit="1"/>
    </xf>
    <xf numFmtId="0" fontId="0" fillId="33" borderId="11" xfId="0" applyFill="1" applyBorder="1" applyAlignment="1">
      <alignment vertical="center" shrinkToFit="1"/>
    </xf>
    <xf numFmtId="0" fontId="0" fillId="33" borderId="0" xfId="0" applyFill="1" applyBorder="1" applyAlignment="1">
      <alignment vertical="center" shrinkToFit="1"/>
    </xf>
    <xf numFmtId="0" fontId="0" fillId="33" borderId="0" xfId="0" applyFont="1" applyFill="1" applyBorder="1" applyAlignment="1">
      <alignment vertical="center" shrinkToFit="1"/>
    </xf>
    <xf numFmtId="0" fontId="2" fillId="33" borderId="0" xfId="0" applyNumberFormat="1" applyFont="1" applyFill="1" applyBorder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0" fillId="33" borderId="0" xfId="0" applyFill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3" borderId="11" xfId="0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 shrinkToFit="1"/>
    </xf>
    <xf numFmtId="0" fontId="0" fillId="33" borderId="0" xfId="0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top" textRotation="255" wrapText="1"/>
    </xf>
    <xf numFmtId="0" fontId="6" fillId="33" borderId="0" xfId="0" applyFont="1" applyFill="1" applyBorder="1" applyAlignment="1">
      <alignment horizontal="center" vertical="top" textRotation="255" wrapText="1"/>
    </xf>
    <xf numFmtId="0" fontId="0" fillId="33" borderId="0" xfId="0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vertical="top" textRotation="255"/>
    </xf>
    <xf numFmtId="0" fontId="0" fillId="33" borderId="0" xfId="0" applyFill="1" applyBorder="1" applyAlignment="1">
      <alignment horizontal="center" vertical="top" textRotation="255" wrapText="1"/>
    </xf>
    <xf numFmtId="0" fontId="0" fillId="0" borderId="0" xfId="0" applyNumberFormat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top" textRotation="255"/>
    </xf>
    <xf numFmtId="0" fontId="6" fillId="33" borderId="13" xfId="0" applyFont="1" applyFill="1" applyBorder="1" applyAlignment="1">
      <alignment horizontal="center" vertical="top" textRotation="255"/>
    </xf>
    <xf numFmtId="0" fontId="6" fillId="33" borderId="0" xfId="0" applyFont="1" applyFill="1" applyAlignment="1">
      <alignment horizontal="center" vertical="top"/>
    </xf>
    <xf numFmtId="0" fontId="0" fillId="33" borderId="0" xfId="0" applyNumberFormat="1" applyFill="1" applyBorder="1" applyAlignment="1">
      <alignment horizontal="center" vertical="center" shrinkToFi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 textRotation="255"/>
    </xf>
    <xf numFmtId="0" fontId="8" fillId="33" borderId="0" xfId="0" applyFont="1" applyFill="1" applyBorder="1" applyAlignment="1">
      <alignment horizontal="center" vertical="center"/>
    </xf>
    <xf numFmtId="178" fontId="7" fillId="33" borderId="0" xfId="0" applyNumberFormat="1" applyFont="1" applyFill="1" applyAlignment="1">
      <alignment horizontal="center" vertical="center" textRotation="255" shrinkToFit="1"/>
    </xf>
    <xf numFmtId="0" fontId="0" fillId="33" borderId="10" xfId="0" applyFill="1" applyBorder="1" applyAlignment="1">
      <alignment vertical="center" shrinkToFit="1"/>
    </xf>
    <xf numFmtId="0" fontId="0" fillId="34" borderId="10" xfId="0" applyFill="1" applyBorder="1" applyAlignment="1">
      <alignment vertical="center" shrinkToFit="1"/>
    </xf>
    <xf numFmtId="0" fontId="0" fillId="35" borderId="10" xfId="0" applyFill="1" applyBorder="1" applyAlignment="1">
      <alignment vertical="center" shrinkToFit="1"/>
    </xf>
    <xf numFmtId="0" fontId="0" fillId="36" borderId="10" xfId="0" applyFill="1" applyBorder="1" applyAlignment="1">
      <alignment vertical="center" shrinkToFit="1"/>
    </xf>
    <xf numFmtId="0" fontId="0" fillId="37" borderId="10" xfId="0" applyFill="1" applyBorder="1" applyAlignment="1">
      <alignment vertical="center" shrinkToFit="1"/>
    </xf>
    <xf numFmtId="0" fontId="0" fillId="33" borderId="1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35" borderId="10" xfId="0" applyFont="1" applyFill="1" applyBorder="1" applyAlignment="1">
      <alignment vertical="center" shrinkToFit="1"/>
    </xf>
    <xf numFmtId="0" fontId="0" fillId="36" borderId="10" xfId="0" applyFont="1" applyFill="1" applyBorder="1" applyAlignment="1">
      <alignment vertical="center" shrinkToFit="1"/>
    </xf>
    <xf numFmtId="0" fontId="0" fillId="37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vertical="center" shrinkToFit="1"/>
    </xf>
    <xf numFmtId="0" fontId="2" fillId="33" borderId="14" xfId="0" applyNumberFormat="1" applyFont="1" applyFill="1" applyBorder="1" applyAlignment="1">
      <alignment vertical="center" shrinkToFit="1"/>
    </xf>
    <xf numFmtId="0" fontId="2" fillId="33" borderId="15" xfId="0" applyNumberFormat="1" applyFont="1" applyFill="1" applyBorder="1" applyAlignment="1">
      <alignment vertical="center" shrinkToFit="1"/>
    </xf>
    <xf numFmtId="0" fontId="2" fillId="33" borderId="16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33" borderId="16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183" fontId="0" fillId="0" borderId="10" xfId="0" applyNumberFormat="1" applyFill="1" applyBorder="1" applyAlignment="1">
      <alignment/>
    </xf>
    <xf numFmtId="183" fontId="2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83" fontId="11" fillId="0" borderId="10" xfId="0" applyNumberFormat="1" applyFont="1" applyFill="1" applyBorder="1" applyAlignment="1">
      <alignment/>
    </xf>
    <xf numFmtId="183" fontId="0" fillId="0" borderId="17" xfId="0" applyNumberFormat="1" applyFill="1" applyBorder="1" applyAlignment="1">
      <alignment/>
    </xf>
    <xf numFmtId="0" fontId="10" fillId="0" borderId="17" xfId="0" applyFont="1" applyFill="1" applyBorder="1" applyAlignment="1">
      <alignment/>
    </xf>
    <xf numFmtId="183" fontId="2" fillId="0" borderId="17" xfId="0" applyNumberFormat="1" applyFont="1" applyFill="1" applyBorder="1" applyAlignment="1">
      <alignment/>
    </xf>
    <xf numFmtId="183" fontId="11" fillId="0" borderId="17" xfId="0" applyNumberFormat="1" applyFont="1" applyFill="1" applyBorder="1" applyAlignment="1">
      <alignment/>
    </xf>
    <xf numFmtId="0" fontId="0" fillId="0" borderId="0" xfId="0" applyBorder="1" applyAlignment="1">
      <alignment vertical="center" shrinkToFit="1"/>
    </xf>
    <xf numFmtId="0" fontId="10" fillId="33" borderId="0" xfId="0" applyFont="1" applyFill="1" applyAlignment="1">
      <alignment vertical="center" shrinkToFit="1"/>
    </xf>
    <xf numFmtId="0" fontId="10" fillId="0" borderId="0" xfId="0" applyFont="1" applyAlignment="1">
      <alignment vertical="center" shrinkToFit="1"/>
    </xf>
    <xf numFmtId="183" fontId="0" fillId="0" borderId="0" xfId="0" applyNumberFormat="1" applyAlignment="1">
      <alignment vertical="center" shrinkToFit="1"/>
    </xf>
    <xf numFmtId="0" fontId="12" fillId="33" borderId="0" xfId="0" applyFont="1" applyFill="1" applyAlignment="1" quotePrefix="1">
      <alignment horizontal="left" vertical="center"/>
    </xf>
    <xf numFmtId="183" fontId="11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183" fontId="0" fillId="0" borderId="0" xfId="0" applyNumberFormat="1" applyAlignment="1">
      <alignment vertical="center"/>
    </xf>
    <xf numFmtId="9" fontId="0" fillId="0" borderId="0" xfId="42" applyFont="1" applyAlignment="1">
      <alignment/>
    </xf>
    <xf numFmtId="178" fontId="7" fillId="33" borderId="18" xfId="0" applyNumberFormat="1" applyFont="1" applyFill="1" applyBorder="1" applyAlignment="1">
      <alignment horizontal="center" vertical="center" textRotation="255" shrinkToFit="1"/>
    </xf>
    <xf numFmtId="0" fontId="6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right" vertical="top"/>
    </xf>
    <xf numFmtId="0" fontId="6" fillId="33" borderId="17" xfId="0" applyFont="1" applyFill="1" applyBorder="1" applyAlignment="1">
      <alignment vertical="top"/>
    </xf>
    <xf numFmtId="0" fontId="6" fillId="33" borderId="12" xfId="0" applyFont="1" applyFill="1" applyBorder="1" applyAlignment="1">
      <alignment vertical="top"/>
    </xf>
    <xf numFmtId="0" fontId="6" fillId="33" borderId="11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2" fillId="33" borderId="0" xfId="0" applyFont="1" applyFill="1" applyAlignment="1" quotePrefix="1">
      <alignment horizontal="left" vertical="center" shrinkToFit="1"/>
    </xf>
    <xf numFmtId="0" fontId="0" fillId="33" borderId="17" xfId="0" applyFill="1" applyBorder="1" applyAlignment="1">
      <alignment vertical="center"/>
    </xf>
    <xf numFmtId="0" fontId="6" fillId="33" borderId="17" xfId="0" applyFont="1" applyFill="1" applyBorder="1" applyAlignment="1">
      <alignment horizontal="right" vertical="top"/>
    </xf>
    <xf numFmtId="0" fontId="0" fillId="33" borderId="19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5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shrinkToFit="1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10" fillId="33" borderId="0" xfId="0" applyFont="1" applyFill="1" applyAlignment="1" quotePrefix="1">
      <alignment horizontal="left" vertical="center"/>
    </xf>
    <xf numFmtId="0" fontId="10" fillId="0" borderId="0" xfId="0" applyFont="1" applyAlignment="1">
      <alignment/>
    </xf>
    <xf numFmtId="0" fontId="16" fillId="33" borderId="15" xfId="0" applyNumberFormat="1" applyFont="1" applyFill="1" applyBorder="1" applyAlignment="1">
      <alignment vertical="center" shrinkToFit="1"/>
    </xf>
    <xf numFmtId="0" fontId="0" fillId="33" borderId="0" xfId="0" applyFill="1" applyBorder="1" applyAlignment="1">
      <alignment shrinkToFit="1"/>
    </xf>
    <xf numFmtId="0" fontId="9" fillId="33" borderId="10" xfId="0" applyFont="1" applyFill="1" applyBorder="1" applyAlignment="1">
      <alignment horizontal="left" vertical="center" shrinkToFit="1"/>
    </xf>
    <xf numFmtId="0" fontId="6" fillId="33" borderId="11" xfId="0" applyFont="1" applyFill="1" applyBorder="1" applyAlignment="1">
      <alignment horizontal="right" vertical="top"/>
    </xf>
    <xf numFmtId="0" fontId="6" fillId="33" borderId="11" xfId="0" applyFont="1" applyFill="1" applyBorder="1" applyAlignment="1">
      <alignment horizontal="center" vertical="top" textRotation="255" wrapText="1"/>
    </xf>
    <xf numFmtId="0" fontId="6" fillId="33" borderId="13" xfId="0" applyFont="1" applyFill="1" applyBorder="1" applyAlignment="1">
      <alignment horizontal="right" vertical="top" textRotation="255" wrapText="1"/>
    </xf>
    <xf numFmtId="0" fontId="6" fillId="33" borderId="20" xfId="0" applyFont="1" applyFill="1" applyBorder="1" applyAlignment="1">
      <alignment horizontal="center" vertical="top" textRotation="255" wrapText="1"/>
    </xf>
    <xf numFmtId="56" fontId="0" fillId="33" borderId="11" xfId="0" applyNumberFormat="1" applyFill="1" applyBorder="1" applyAlignment="1">
      <alignment horizontal="right" vertical="center"/>
    </xf>
    <xf numFmtId="0" fontId="6" fillId="33" borderId="16" xfId="0" applyFont="1" applyFill="1" applyBorder="1" applyAlignment="1">
      <alignment horizontal="left" vertical="top"/>
    </xf>
    <xf numFmtId="0" fontId="6" fillId="33" borderId="15" xfId="0" applyFont="1" applyFill="1" applyBorder="1" applyAlignment="1">
      <alignment horizontal="right" vertical="top"/>
    </xf>
    <xf numFmtId="0" fontId="6" fillId="33" borderId="13" xfId="0" applyFont="1" applyFill="1" applyBorder="1" applyAlignment="1">
      <alignment horizontal="right" vertical="top"/>
    </xf>
    <xf numFmtId="0" fontId="0" fillId="33" borderId="20" xfId="0" applyFill="1" applyBorder="1" applyAlignment="1">
      <alignment horizontal="center" vertical="center"/>
    </xf>
    <xf numFmtId="0" fontId="6" fillId="33" borderId="15" xfId="0" applyFont="1" applyFill="1" applyBorder="1" applyAlignment="1">
      <alignment vertical="top"/>
    </xf>
    <xf numFmtId="0" fontId="0" fillId="33" borderId="0" xfId="0" applyFont="1" applyFill="1" applyAlignment="1">
      <alignment vertical="center" shrinkToFit="1"/>
    </xf>
    <xf numFmtId="0" fontId="5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 shrinkToFit="1"/>
    </xf>
    <xf numFmtId="184" fontId="0" fillId="0" borderId="0" xfId="0" applyNumberFormat="1" applyAlignment="1">
      <alignment vertical="center" shrinkToFit="1"/>
    </xf>
    <xf numFmtId="0" fontId="6" fillId="33" borderId="0" xfId="0" applyFont="1" applyFill="1" applyBorder="1" applyAlignment="1">
      <alignment horizontal="left" vertical="top" shrinkToFit="1"/>
    </xf>
    <xf numFmtId="0" fontId="6" fillId="33" borderId="0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top"/>
    </xf>
    <xf numFmtId="0" fontId="0" fillId="33" borderId="11" xfId="0" applyFill="1" applyBorder="1" applyAlignment="1">
      <alignment horizontal="right" vertical="top"/>
    </xf>
    <xf numFmtId="0" fontId="0" fillId="33" borderId="19" xfId="0" applyFill="1" applyBorder="1" applyAlignment="1">
      <alignment vertical="center" shrinkToFit="1"/>
    </xf>
    <xf numFmtId="0" fontId="0" fillId="33" borderId="11" xfId="0" applyFill="1" applyBorder="1" applyAlignment="1">
      <alignment vertical="center"/>
    </xf>
    <xf numFmtId="49" fontId="0" fillId="33" borderId="14" xfId="0" applyNumberFormat="1" applyFill="1" applyBorder="1" applyAlignment="1">
      <alignment horizontal="right" vertical="center"/>
    </xf>
    <xf numFmtId="0" fontId="0" fillId="33" borderId="15" xfId="0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top" textRotation="255"/>
    </xf>
    <xf numFmtId="0" fontId="6" fillId="33" borderId="15" xfId="0" applyFont="1" applyFill="1" applyBorder="1" applyAlignment="1">
      <alignment horizontal="center" vertical="top" textRotation="255"/>
    </xf>
    <xf numFmtId="0" fontId="6" fillId="33" borderId="16" xfId="0" applyFont="1" applyFill="1" applyBorder="1" applyAlignment="1">
      <alignment horizontal="center" vertical="center" textRotation="255"/>
    </xf>
    <xf numFmtId="0" fontId="6" fillId="33" borderId="14" xfId="0" applyFont="1" applyFill="1" applyBorder="1" applyAlignment="1">
      <alignment horizontal="left" vertical="top" textRotation="255"/>
    </xf>
    <xf numFmtId="49" fontId="0" fillId="33" borderId="19" xfId="0" applyNumberFormat="1" applyFill="1" applyBorder="1" applyAlignment="1">
      <alignment horizontal="left" vertical="top"/>
    </xf>
    <xf numFmtId="0" fontId="0" fillId="33" borderId="11" xfId="0" applyFill="1" applyBorder="1" applyAlignment="1">
      <alignment horizontal="center" vertical="center"/>
    </xf>
    <xf numFmtId="0" fontId="6" fillId="33" borderId="20" xfId="0" applyFont="1" applyFill="1" applyBorder="1" applyAlignment="1">
      <alignment horizontal="right" vertical="top"/>
    </xf>
    <xf numFmtId="0" fontId="6" fillId="33" borderId="22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left" vertical="top"/>
    </xf>
    <xf numFmtId="0" fontId="0" fillId="33" borderId="20" xfId="0" applyFill="1" applyBorder="1" applyAlignment="1">
      <alignment horizontal="left" vertical="center"/>
    </xf>
    <xf numFmtId="0" fontId="0" fillId="33" borderId="20" xfId="0" applyFill="1" applyBorder="1" applyAlignment="1">
      <alignment vertical="center" shrinkToFit="1"/>
    </xf>
    <xf numFmtId="0" fontId="0" fillId="33" borderId="23" xfId="0" applyFill="1" applyBorder="1" applyAlignment="1">
      <alignment horizontal="right" vertical="center"/>
    </xf>
    <xf numFmtId="0" fontId="6" fillId="33" borderId="24" xfId="0" applyFont="1" applyFill="1" applyBorder="1" applyAlignment="1">
      <alignment horizontal="right" vertical="top"/>
    </xf>
    <xf numFmtId="0" fontId="6" fillId="33" borderId="25" xfId="0" applyFont="1" applyFill="1" applyBorder="1" applyAlignment="1">
      <alignment horizontal="center" vertical="top" textRotation="255" wrapText="1"/>
    </xf>
    <xf numFmtId="0" fontId="6" fillId="33" borderId="19" xfId="0" applyFont="1" applyFill="1" applyBorder="1" applyAlignment="1">
      <alignment horizontal="center" vertical="top" textRotation="255" wrapText="1"/>
    </xf>
    <xf numFmtId="0" fontId="6" fillId="33" borderId="19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right" vertical="top"/>
    </xf>
    <xf numFmtId="0" fontId="0" fillId="33" borderId="11" xfId="0" applyFill="1" applyBorder="1" applyAlignment="1">
      <alignment horizontal="right" vertical="center"/>
    </xf>
    <xf numFmtId="0" fontId="6" fillId="33" borderId="18" xfId="0" applyFont="1" applyFill="1" applyBorder="1" applyAlignment="1">
      <alignment horizontal="left" vertical="top" shrinkToFit="1"/>
    </xf>
    <xf numFmtId="0" fontId="6" fillId="33" borderId="26" xfId="0" applyFont="1" applyFill="1" applyBorder="1" applyAlignment="1">
      <alignment horizontal="center" vertical="top" textRotation="255" wrapText="1"/>
    </xf>
    <xf numFmtId="0" fontId="0" fillId="33" borderId="17" xfId="0" applyFill="1" applyBorder="1" applyAlignment="1">
      <alignment vertical="center" shrinkToFit="1"/>
    </xf>
    <xf numFmtId="0" fontId="0" fillId="33" borderId="27" xfId="0" applyFont="1" applyFill="1" applyBorder="1" applyAlignment="1">
      <alignment vertical="center" shrinkToFit="1"/>
    </xf>
    <xf numFmtId="0" fontId="13" fillId="0" borderId="1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2" fillId="0" borderId="0" xfId="42" applyFont="1" applyAlignment="1">
      <alignment horizontal="center"/>
    </xf>
    <xf numFmtId="0" fontId="0" fillId="0" borderId="0" xfId="0" applyAlignment="1" quotePrefix="1">
      <alignment horizontal="center"/>
    </xf>
    <xf numFmtId="0" fontId="14" fillId="0" borderId="0" xfId="0" applyFont="1" applyAlignment="1">
      <alignment horizontal="center"/>
    </xf>
    <xf numFmtId="9" fontId="6" fillId="33" borderId="0" xfId="42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10" fillId="33" borderId="11" xfId="0" applyFont="1" applyFill="1" applyBorder="1" applyAlignment="1" quotePrefix="1">
      <alignment horizontal="right" vertical="center"/>
    </xf>
    <xf numFmtId="183" fontId="10" fillId="33" borderId="11" xfId="0" applyNumberFormat="1" applyFont="1" applyFill="1" applyBorder="1" applyAlignment="1">
      <alignment horizontal="left" vertical="center"/>
    </xf>
    <xf numFmtId="0" fontId="0" fillId="33" borderId="14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185" fontId="10" fillId="33" borderId="11" xfId="0" applyNumberFormat="1" applyFont="1" applyFill="1" applyBorder="1" applyAlignment="1">
      <alignment vertical="center" shrinkToFit="1"/>
    </xf>
    <xf numFmtId="183" fontId="10" fillId="33" borderId="11" xfId="0" applyNumberFormat="1" applyFont="1" applyFill="1" applyBorder="1" applyAlignment="1">
      <alignment vertical="center"/>
    </xf>
    <xf numFmtId="178" fontId="7" fillId="33" borderId="26" xfId="0" applyNumberFormat="1" applyFont="1" applyFill="1" applyBorder="1" applyAlignment="1">
      <alignment horizontal="center" vertical="center" textRotation="255" shrinkToFit="1"/>
    </xf>
    <xf numFmtId="178" fontId="7" fillId="33" borderId="12" xfId="0" applyNumberFormat="1" applyFont="1" applyFill="1" applyBorder="1" applyAlignment="1">
      <alignment horizontal="center" vertical="center" textRotation="255" shrinkToFit="1"/>
    </xf>
    <xf numFmtId="178" fontId="7" fillId="33" borderId="18" xfId="0" applyNumberFormat="1" applyFont="1" applyFill="1" applyBorder="1" applyAlignment="1">
      <alignment horizontal="center" vertical="center" textRotation="255" shrinkToFit="1"/>
    </xf>
    <xf numFmtId="178" fontId="7" fillId="33" borderId="13" xfId="0" applyNumberFormat="1" applyFont="1" applyFill="1" applyBorder="1" applyAlignment="1">
      <alignment horizontal="center" vertical="center" textRotation="255" shrinkToFit="1"/>
    </xf>
    <xf numFmtId="178" fontId="7" fillId="33" borderId="19" xfId="0" applyNumberFormat="1" applyFont="1" applyFill="1" applyBorder="1" applyAlignment="1">
      <alignment horizontal="center" vertical="center" textRotation="255" shrinkToFit="1"/>
    </xf>
    <xf numFmtId="178" fontId="7" fillId="33" borderId="20" xfId="0" applyNumberFormat="1" applyFont="1" applyFill="1" applyBorder="1" applyAlignment="1">
      <alignment horizontal="center" vertical="center" textRotation="255" shrinkToFit="1"/>
    </xf>
    <xf numFmtId="0" fontId="0" fillId="33" borderId="0" xfId="0" applyFill="1" applyAlignment="1">
      <alignment horizontal="center" vertical="center" shrinkToFit="1"/>
    </xf>
    <xf numFmtId="56" fontId="0" fillId="33" borderId="17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 textRotation="255" shrinkToFit="1"/>
    </xf>
    <xf numFmtId="0" fontId="7" fillId="33" borderId="12" xfId="0" applyFont="1" applyFill="1" applyBorder="1" applyAlignment="1">
      <alignment horizontal="center" vertical="center" textRotation="255" shrinkToFit="1"/>
    </xf>
    <xf numFmtId="0" fontId="7" fillId="33" borderId="18" xfId="0" applyFont="1" applyFill="1" applyBorder="1" applyAlignment="1">
      <alignment horizontal="center" vertical="center" textRotation="255" shrinkToFit="1"/>
    </xf>
    <xf numFmtId="0" fontId="7" fillId="33" borderId="13" xfId="0" applyFont="1" applyFill="1" applyBorder="1" applyAlignment="1">
      <alignment horizontal="center" vertical="center" textRotation="255" shrinkToFit="1"/>
    </xf>
    <xf numFmtId="0" fontId="7" fillId="33" borderId="19" xfId="0" applyFont="1" applyFill="1" applyBorder="1" applyAlignment="1">
      <alignment horizontal="center" vertical="center" textRotation="255" shrinkToFit="1"/>
    </xf>
    <xf numFmtId="0" fontId="7" fillId="33" borderId="20" xfId="0" applyFont="1" applyFill="1" applyBorder="1" applyAlignment="1">
      <alignment horizontal="center" vertical="center" textRotation="255" shrinkToFit="1"/>
    </xf>
    <xf numFmtId="0" fontId="2" fillId="33" borderId="0" xfId="0" applyFont="1" applyFill="1" applyAlignment="1">
      <alignment vertical="center" shrinkToFit="1"/>
    </xf>
    <xf numFmtId="9" fontId="6" fillId="33" borderId="11" xfId="42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top" textRotation="255" wrapText="1"/>
    </xf>
    <xf numFmtId="0" fontId="0" fillId="33" borderId="0" xfId="0" applyFill="1" applyBorder="1" applyAlignment="1">
      <alignment horizontal="center" vertical="top" textRotation="255" wrapText="1"/>
    </xf>
    <xf numFmtId="0" fontId="6" fillId="33" borderId="0" xfId="0" applyFont="1" applyFill="1" applyBorder="1" applyAlignment="1">
      <alignment horizontal="center" vertical="top" textRotation="255"/>
    </xf>
    <xf numFmtId="56" fontId="6" fillId="33" borderId="0" xfId="0" applyNumberFormat="1" applyFont="1" applyFill="1" applyBorder="1" applyAlignment="1">
      <alignment horizontal="center" vertical="top"/>
    </xf>
    <xf numFmtId="0" fontId="6" fillId="33" borderId="17" xfId="0" applyFont="1" applyFill="1" applyBorder="1" applyAlignment="1">
      <alignment horizontal="center" vertical="top"/>
    </xf>
    <xf numFmtId="0" fontId="0" fillId="33" borderId="0" xfId="0" applyFill="1" applyBorder="1" applyAlignment="1">
      <alignment horizontal="center" vertical="center" shrinkToFit="1"/>
    </xf>
    <xf numFmtId="0" fontId="0" fillId="33" borderId="0" xfId="0" applyFill="1" applyBorder="1" applyAlignment="1" quotePrefix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7"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lor rgb="FFFF0000"/>
      </font>
      <border/>
    </dxf>
    <dxf>
      <font>
        <color rgb="FF0000FF"/>
      </font>
      <border/>
    </dxf>
    <dxf>
      <font>
        <color rgb="FFFFCC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9525</xdr:rowOff>
    </xdr:from>
    <xdr:to>
      <xdr:col>32</xdr:col>
      <xdr:colOff>180975</xdr:colOff>
      <xdr:row>22</xdr:row>
      <xdr:rowOff>228600</xdr:rowOff>
    </xdr:to>
    <xdr:sp>
      <xdr:nvSpPr>
        <xdr:cNvPr id="1" name="Line 8"/>
        <xdr:cNvSpPr>
          <a:spLocks/>
        </xdr:cNvSpPr>
      </xdr:nvSpPr>
      <xdr:spPr>
        <a:xfrm>
          <a:off x="1152525" y="3724275"/>
          <a:ext cx="640080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19050</xdr:rowOff>
    </xdr:from>
    <xdr:to>
      <xdr:col>33</xdr:col>
      <xdr:colOff>0</xdr:colOff>
      <xdr:row>34</xdr:row>
      <xdr:rowOff>0</xdr:rowOff>
    </xdr:to>
    <xdr:sp>
      <xdr:nvSpPr>
        <xdr:cNvPr id="2" name="Line 10"/>
        <xdr:cNvSpPr>
          <a:spLocks/>
        </xdr:cNvSpPr>
      </xdr:nvSpPr>
      <xdr:spPr>
        <a:xfrm>
          <a:off x="1181100" y="6457950"/>
          <a:ext cx="6391275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19050</xdr:rowOff>
    </xdr:from>
    <xdr:to>
      <xdr:col>33</xdr:col>
      <xdr:colOff>0</xdr:colOff>
      <xdr:row>45</xdr:row>
      <xdr:rowOff>0</xdr:rowOff>
    </xdr:to>
    <xdr:sp>
      <xdr:nvSpPr>
        <xdr:cNvPr id="3" name="Line 11"/>
        <xdr:cNvSpPr>
          <a:spLocks/>
        </xdr:cNvSpPr>
      </xdr:nvSpPr>
      <xdr:spPr>
        <a:xfrm>
          <a:off x="1162050" y="9182100"/>
          <a:ext cx="6410325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50</xdr:row>
      <xdr:rowOff>19050</xdr:rowOff>
    </xdr:from>
    <xdr:to>
      <xdr:col>33</xdr:col>
      <xdr:colOff>0</xdr:colOff>
      <xdr:row>58</xdr:row>
      <xdr:rowOff>0</xdr:rowOff>
    </xdr:to>
    <xdr:sp>
      <xdr:nvSpPr>
        <xdr:cNvPr id="4" name="Line 13"/>
        <xdr:cNvSpPr>
          <a:spLocks/>
        </xdr:cNvSpPr>
      </xdr:nvSpPr>
      <xdr:spPr>
        <a:xfrm>
          <a:off x="1171575" y="12401550"/>
          <a:ext cx="640080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61</xdr:row>
      <xdr:rowOff>19050</xdr:rowOff>
    </xdr:from>
    <xdr:to>
      <xdr:col>33</xdr:col>
      <xdr:colOff>0</xdr:colOff>
      <xdr:row>69</xdr:row>
      <xdr:rowOff>0</xdr:rowOff>
    </xdr:to>
    <xdr:sp>
      <xdr:nvSpPr>
        <xdr:cNvPr id="5" name="Line 15"/>
        <xdr:cNvSpPr>
          <a:spLocks/>
        </xdr:cNvSpPr>
      </xdr:nvSpPr>
      <xdr:spPr>
        <a:xfrm>
          <a:off x="1171575" y="15125700"/>
          <a:ext cx="640080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19050</xdr:rowOff>
    </xdr:from>
    <xdr:to>
      <xdr:col>33</xdr:col>
      <xdr:colOff>0</xdr:colOff>
      <xdr:row>11</xdr:row>
      <xdr:rowOff>0</xdr:rowOff>
    </xdr:to>
    <xdr:sp>
      <xdr:nvSpPr>
        <xdr:cNvPr id="6" name="Line 37"/>
        <xdr:cNvSpPr>
          <a:spLocks/>
        </xdr:cNvSpPr>
      </xdr:nvSpPr>
      <xdr:spPr>
        <a:xfrm>
          <a:off x="1171575" y="762000"/>
          <a:ext cx="640080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45</xdr:col>
      <xdr:colOff>28575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1171575" y="762000"/>
          <a:ext cx="8896350" cy="2705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17</xdr:row>
      <xdr:rowOff>19050</xdr:rowOff>
    </xdr:from>
    <xdr:to>
      <xdr:col>45</xdr:col>
      <xdr:colOff>28575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1171575" y="4229100"/>
          <a:ext cx="8896350" cy="2705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31</xdr:row>
      <xdr:rowOff>19050</xdr:rowOff>
    </xdr:from>
    <xdr:to>
      <xdr:col>45</xdr:col>
      <xdr:colOff>28575</xdr:colOff>
      <xdr:row>41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7696200"/>
          <a:ext cx="8896350" cy="2686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19050</xdr:rowOff>
    </xdr:from>
    <xdr:to>
      <xdr:col>45</xdr:col>
      <xdr:colOff>28575</xdr:colOff>
      <xdr:row>55</xdr:row>
      <xdr:rowOff>228600</xdr:rowOff>
    </xdr:to>
    <xdr:sp>
      <xdr:nvSpPr>
        <xdr:cNvPr id="4" name="Line 5"/>
        <xdr:cNvSpPr>
          <a:spLocks/>
        </xdr:cNvSpPr>
      </xdr:nvSpPr>
      <xdr:spPr>
        <a:xfrm>
          <a:off x="1171575" y="11163300"/>
          <a:ext cx="8896350" cy="2686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45</xdr:col>
      <xdr:colOff>28575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>
          <a:off x="1171575" y="762000"/>
          <a:ext cx="8896350" cy="2705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17</xdr:row>
      <xdr:rowOff>19050</xdr:rowOff>
    </xdr:from>
    <xdr:to>
      <xdr:col>45</xdr:col>
      <xdr:colOff>28575</xdr:colOff>
      <xdr:row>28</xdr:row>
      <xdr:rowOff>0</xdr:rowOff>
    </xdr:to>
    <xdr:sp>
      <xdr:nvSpPr>
        <xdr:cNvPr id="2" name="Line 6"/>
        <xdr:cNvSpPr>
          <a:spLocks/>
        </xdr:cNvSpPr>
      </xdr:nvSpPr>
      <xdr:spPr>
        <a:xfrm>
          <a:off x="1171575" y="4229100"/>
          <a:ext cx="8896350" cy="2705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31</xdr:row>
      <xdr:rowOff>19050</xdr:rowOff>
    </xdr:from>
    <xdr:to>
      <xdr:col>45</xdr:col>
      <xdr:colOff>28575</xdr:colOff>
      <xdr:row>41</xdr:row>
      <xdr:rowOff>228600</xdr:rowOff>
    </xdr:to>
    <xdr:sp>
      <xdr:nvSpPr>
        <xdr:cNvPr id="3" name="Line 7"/>
        <xdr:cNvSpPr>
          <a:spLocks/>
        </xdr:cNvSpPr>
      </xdr:nvSpPr>
      <xdr:spPr>
        <a:xfrm>
          <a:off x="1171575" y="7696200"/>
          <a:ext cx="8896350" cy="2686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19050</xdr:rowOff>
    </xdr:from>
    <xdr:to>
      <xdr:col>44</xdr:col>
      <xdr:colOff>180975</xdr:colOff>
      <xdr:row>55</xdr:row>
      <xdr:rowOff>228600</xdr:rowOff>
    </xdr:to>
    <xdr:sp>
      <xdr:nvSpPr>
        <xdr:cNvPr id="4" name="Line 8"/>
        <xdr:cNvSpPr>
          <a:spLocks/>
        </xdr:cNvSpPr>
      </xdr:nvSpPr>
      <xdr:spPr>
        <a:xfrm>
          <a:off x="1171575" y="11163300"/>
          <a:ext cx="8848725" cy="2686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6"/>
  <sheetViews>
    <sheetView view="pageBreakPreview" zoomScaleSheetLayoutView="100" zoomScalePageLayoutView="0" workbookViewId="0" topLeftCell="A1">
      <selection activeCell="C49" sqref="C49"/>
    </sheetView>
  </sheetViews>
  <sheetFormatPr defaultColWidth="9.00390625" defaultRowHeight="13.5"/>
  <cols>
    <col min="1" max="1" width="4.375" style="0" customWidth="1"/>
    <col min="2" max="2" width="11.125" style="0" customWidth="1"/>
    <col min="3" max="3" width="14.125" style="0" bestFit="1" customWidth="1"/>
    <col min="4" max="4" width="13.00390625" style="0" customWidth="1"/>
    <col min="5" max="8" width="5.625" style="0" customWidth="1"/>
    <col min="9" max="9" width="2.75390625" style="0" customWidth="1"/>
    <col min="10" max="10" width="3.00390625" style="0" customWidth="1"/>
    <col min="13" max="13" width="13.00390625" style="0" customWidth="1"/>
    <col min="14" max="17" width="5.625" style="0" customWidth="1"/>
    <col min="18" max="18" width="3.625" style="0" customWidth="1"/>
    <col min="19" max="19" width="4.00390625" style="0" customWidth="1"/>
    <col min="22" max="22" width="13.00390625" style="0" customWidth="1"/>
    <col min="23" max="26" width="5.625" style="0" customWidth="1"/>
  </cols>
  <sheetData>
    <row r="1" spans="13:14" ht="13.5">
      <c r="M1" s="87">
        <f ca="1">TODAY()</f>
        <v>41268</v>
      </c>
      <c r="N1" t="s">
        <v>68</v>
      </c>
    </row>
    <row r="3" spans="2:26" ht="14.25">
      <c r="B3" s="150" t="s">
        <v>42</v>
      </c>
      <c r="C3" s="150"/>
      <c r="D3" s="150"/>
      <c r="E3" s="150"/>
      <c r="F3" s="150"/>
      <c r="G3" s="150"/>
      <c r="H3" s="150"/>
      <c r="K3" s="150" t="s">
        <v>41</v>
      </c>
      <c r="L3" s="150"/>
      <c r="M3" s="150"/>
      <c r="N3" s="150"/>
      <c r="O3" s="150"/>
      <c r="P3" s="150"/>
      <c r="Q3" s="150"/>
      <c r="T3" s="150" t="s">
        <v>40</v>
      </c>
      <c r="U3" s="150"/>
      <c r="V3" s="150"/>
      <c r="W3" s="150"/>
      <c r="X3" s="150"/>
      <c r="Y3" s="150"/>
      <c r="Z3" s="150"/>
    </row>
    <row r="4" spans="2:7" ht="14.25">
      <c r="B4" s="63"/>
      <c r="C4" s="63"/>
      <c r="D4" s="63"/>
      <c r="E4" s="63"/>
      <c r="F4" s="63"/>
      <c r="G4" s="63"/>
    </row>
    <row r="5" spans="2:26" ht="14.25">
      <c r="B5" s="141" t="str">
        <f>"Ａブロック             試合消化率  "&amp;ROUND('Ａ戦'!AJ2*100,1)&amp;"％"</f>
        <v>Ａブロック             試合消化率  82.1％</v>
      </c>
      <c r="C5" s="142"/>
      <c r="D5" s="142"/>
      <c r="E5" s="142"/>
      <c r="F5" s="142"/>
      <c r="G5" s="142"/>
      <c r="H5" s="143"/>
      <c r="K5" s="141" t="str">
        <f>"Ａブロック             試合消化率  "&amp;ROUND('Ｂ戦'!AR2*100,1)&amp;"％"</f>
        <v>Ａブロック             試合消化率  77.8％</v>
      </c>
      <c r="L5" s="142"/>
      <c r="M5" s="142"/>
      <c r="N5" s="142"/>
      <c r="O5" s="142"/>
      <c r="P5" s="142"/>
      <c r="Q5" s="143"/>
      <c r="T5" s="141" t="str">
        <f>"Ａブロック             試合消化率  "&amp;ROUND('Ｃ戦'!AR2*100,1)&amp;"％"</f>
        <v>Ａブロック             試合消化率  89.3％</v>
      </c>
      <c r="U5" s="142"/>
      <c r="V5" s="142"/>
      <c r="W5" s="142"/>
      <c r="X5" s="142"/>
      <c r="Y5" s="142"/>
      <c r="Z5" s="143"/>
    </row>
    <row r="6" spans="2:26" ht="14.25">
      <c r="B6" s="64" t="s">
        <v>32</v>
      </c>
      <c r="C6" s="144" t="s">
        <v>33</v>
      </c>
      <c r="D6" s="144"/>
      <c r="E6" s="66" t="s">
        <v>34</v>
      </c>
      <c r="F6" s="66" t="s">
        <v>35</v>
      </c>
      <c r="G6" s="66" t="s">
        <v>38</v>
      </c>
      <c r="H6" s="66" t="s">
        <v>39</v>
      </c>
      <c r="K6" s="64" t="s">
        <v>32</v>
      </c>
      <c r="L6" s="144" t="s">
        <v>33</v>
      </c>
      <c r="M6" s="144"/>
      <c r="N6" s="66" t="s">
        <v>34</v>
      </c>
      <c r="O6" s="66" t="s">
        <v>35</v>
      </c>
      <c r="P6" s="66" t="s">
        <v>38</v>
      </c>
      <c r="Q6" s="66" t="s">
        <v>39</v>
      </c>
      <c r="T6" s="64" t="s">
        <v>32</v>
      </c>
      <c r="U6" s="144" t="s">
        <v>33</v>
      </c>
      <c r="V6" s="144"/>
      <c r="W6" s="66" t="s">
        <v>34</v>
      </c>
      <c r="X6" s="66" t="s">
        <v>35</v>
      </c>
      <c r="Y6" s="66" t="s">
        <v>38</v>
      </c>
      <c r="Z6" s="66" t="s">
        <v>39</v>
      </c>
    </row>
    <row r="7" spans="2:26" ht="14.25">
      <c r="B7" s="65" t="str">
        <f>IF(H7&gt;0,"暫定"&amp;'Ａ戦'!AZ4&amp;"位",IF(SQRT((H7-H8)^2)*2+E8&gt;E7,"暫定"&amp;'Ａ戦'!AZ4&amp;"位","第"&amp;'Ａ戦'!AZ4&amp;"位"))</f>
        <v>暫定1位</v>
      </c>
      <c r="C7" s="145" t="str">
        <f>IF($C$43&gt;$C$42,+'Ａ戦'!BA4,"")</f>
        <v>野菊野ファイターズ</v>
      </c>
      <c r="D7" s="145"/>
      <c r="E7" s="65">
        <f>IF($C$43&gt;$C$42,'Ａ戦'!BB4,"")</f>
        <v>10</v>
      </c>
      <c r="F7" s="65">
        <f>IF($C$43&gt;$C$42,+'Ａ戦'!BC4,"")</f>
        <v>5</v>
      </c>
      <c r="G7" s="65">
        <f>IF($C$43&gt;$C$42,+'Ａ戦'!BD4,"")</f>
        <v>5</v>
      </c>
      <c r="H7" s="65">
        <f>IF($C$43&gt;$C$42,MAX('Ａ戦'!AT4:AT11)-'戦績'!G7-1,"")</f>
        <v>2</v>
      </c>
      <c r="K7" s="65" t="str">
        <f>IF(Q7&gt;0,"暫定"&amp;'Ｂ戦'!BL4&amp;"位",IF(SQRT((Q7-Q8)^2)*2+N8&gt;N7,"暫定"&amp;'Ｂ戦'!BL4&amp;"位","第"&amp;'Ｂ戦'!BL4&amp;"位"))</f>
        <v>第1位</v>
      </c>
      <c r="L7" s="145" t="str">
        <f>IF($C$43&gt;$C$42,'Ｂ戦'!BM4,"")</f>
        <v>流山ホークス</v>
      </c>
      <c r="M7" s="145"/>
      <c r="N7" s="65">
        <f>IF($C$43&gt;$C$42,'Ｂ戦'!BN4,"")</f>
        <v>17</v>
      </c>
      <c r="O7" s="65">
        <f>IF($C$43&gt;$C$42,'Ｂ戦'!BO4,"")</f>
        <v>8</v>
      </c>
      <c r="P7" s="65">
        <f>IF($C$43&gt;$C$42,'Ｂ戦'!BP4,"")</f>
        <v>9</v>
      </c>
      <c r="Q7" s="65">
        <f>IF($C$43&gt;$C$42,MAX('Ｂ戦'!BF$4:BF$13)-'戦績'!P7-1,"")</f>
        <v>0</v>
      </c>
      <c r="T7" s="65" t="str">
        <f>IF(Z7&gt;0,"暫定"&amp;'Ｃ戦'!BL4&amp;"位",IF(SQRT((Z7-Z8)^2)*2+W8&gt;W7,"暫定"&amp;'Ｃ戦'!BL4&amp;"位","第"&amp;'Ｃ戦'!BL4&amp;"位"))</f>
        <v>第1位</v>
      </c>
      <c r="U7" s="145" t="str">
        <f>IF($C$43&gt;$C$42,+'Ｃ戦'!BM4,"")</f>
        <v>光インパルス</v>
      </c>
      <c r="V7" s="145"/>
      <c r="W7" s="65">
        <f>IF($C$43&gt;$C$42,+'Ｃ戦'!BN4,"")</f>
        <v>11</v>
      </c>
      <c r="X7" s="65">
        <f>IF($C$43&gt;$C$42,+'Ｃ戦'!BO4,"")</f>
        <v>5</v>
      </c>
      <c r="Y7" s="65">
        <f>IF($C$43&gt;$C$42,+'Ｃ戦'!BP4,"")</f>
        <v>7</v>
      </c>
      <c r="Z7" s="65">
        <f>IF($C$43&gt;$C$42,MAX('Ｃ戦'!BF$4:BF$13)-'戦績'!Y7-1,"")</f>
        <v>0</v>
      </c>
    </row>
    <row r="8" spans="2:26" ht="14.25">
      <c r="B8" s="64" t="str">
        <f>IF(H8&gt;0,"暫定"&amp;'Ａ戦'!AZ5&amp;"位",IF(SQRT((H8-H9)^2)*2+E9&gt;E8,"暫定"&amp;'Ａ戦'!AZ5&amp;"位","第"&amp;'Ａ戦'!AZ5&amp;"位"))</f>
        <v>第2位</v>
      </c>
      <c r="C8" s="139" t="str">
        <f>IF($C$43&gt;$C$42,+'Ａ戦'!BA5,"")</f>
        <v>にしくぼフェニックス</v>
      </c>
      <c r="D8" s="139"/>
      <c r="E8" s="64">
        <f>IF($C$43&gt;$C$42,+'Ａ戦'!BB5,"")</f>
        <v>8</v>
      </c>
      <c r="F8" s="64">
        <f>IF($C$43&gt;$C$42,+'Ａ戦'!BC5,"")</f>
        <v>4</v>
      </c>
      <c r="G8" s="64">
        <f>IF($C$43&gt;$C$42,+'Ａ戦'!BD5,"")</f>
        <v>7</v>
      </c>
      <c r="H8" s="64">
        <f>IF($C$43&gt;$C$42,MAX('Ａ戦'!AT5:AT12)-'戦績'!G8-1,"")</f>
        <v>0</v>
      </c>
      <c r="K8" s="64" t="s">
        <v>77</v>
      </c>
      <c r="L8" s="139" t="str">
        <f>IF($C$43&gt;$C$42,'Ｂ戦'!BM5,"")</f>
        <v>小金原ビクトリー</v>
      </c>
      <c r="M8" s="139"/>
      <c r="N8" s="64">
        <f>IF($C$43&gt;$C$42,'Ｂ戦'!BN5,"")</f>
        <v>15</v>
      </c>
      <c r="O8" s="64">
        <f>IF($C$43&gt;$C$42,'Ｂ戦'!BO5,"")</f>
        <v>7</v>
      </c>
      <c r="P8" s="64">
        <f>IF($C$43&gt;$C$42,'Ｂ戦'!BP5,"")</f>
        <v>9</v>
      </c>
      <c r="Q8" s="64">
        <f>IF($C$43&gt;$C$42,MAX('Ｂ戦'!BF$4:BF$13)-'戦績'!P8-1,"")</f>
        <v>0</v>
      </c>
      <c r="T8" s="64" t="str">
        <f>IF(Z8&gt;0,"暫定"&amp;'Ｃ戦'!BL5&amp;"位",IF(SQRT((Z8-Z9)^2)*2+W9&gt;W8,"暫定"&amp;'Ｃ戦'!BL5&amp;"位","第"&amp;'Ｃ戦'!BL5&amp;"位"))</f>
        <v>暫定2位</v>
      </c>
      <c r="U8" s="139" t="str">
        <f>IF($C$43&gt;$C$42,+'Ｃ戦'!BM5,"")</f>
        <v>高塚新田ラークス</v>
      </c>
      <c r="V8" s="139"/>
      <c r="W8" s="64">
        <f>IF($C$43&gt;$C$42,+'Ｃ戦'!BN5,"")</f>
        <v>9</v>
      </c>
      <c r="X8" s="64">
        <f>IF($C$43&gt;$C$42,+'Ｃ戦'!BO5,"")</f>
        <v>4</v>
      </c>
      <c r="Y8" s="64">
        <f>IF($C$43&gt;$C$42,+'Ｃ戦'!BP5,"")</f>
        <v>6</v>
      </c>
      <c r="Z8" s="64">
        <f>IF($C$43&gt;$C$42,MAX('Ｃ戦'!BF$4:BF$13)-'戦績'!Y8-1,"")</f>
        <v>1</v>
      </c>
    </row>
    <row r="9" spans="2:26" ht="14.25">
      <c r="B9" s="64" t="str">
        <f>IF(H9&gt;0,"暫定"&amp;'Ａ戦'!AZ6&amp;"位","第"&amp;'Ａ戦'!AZ6&amp;"位")</f>
        <v>第3位</v>
      </c>
      <c r="C9" s="139" t="str">
        <f>IF($C$43&gt;$C$42,+'Ａ戦'!BA6,"")</f>
        <v>木刈ファイターズ</v>
      </c>
      <c r="D9" s="139"/>
      <c r="E9" s="64">
        <f>IF($C$43&gt;$C$42,+'Ａ戦'!BB6,"")</f>
        <v>8</v>
      </c>
      <c r="F9" s="64">
        <f>IF($C$43&gt;$C$42,+'Ａ戦'!BC6,"")</f>
        <v>4</v>
      </c>
      <c r="G9" s="64">
        <f>IF($C$43&gt;$C$42,+'Ａ戦'!BD6,"")</f>
        <v>7</v>
      </c>
      <c r="H9" s="64">
        <f>IF($C$43&gt;$C$42,MAX('Ａ戦'!AT6:AT13)-'戦績'!G9-1,"")</f>
        <v>0</v>
      </c>
      <c r="K9" s="64" t="str">
        <f>IF(Q9&gt;0,"暫定"&amp;'Ｂ戦'!BL6&amp;"位",IF(SQRT((Q9-Q10)^2)*2+N10&gt;N9,"暫定"&amp;'Ｂ戦'!BL6&amp;"位","第"&amp;'Ｂ戦'!BL6&amp;"位"))</f>
        <v>第3位</v>
      </c>
      <c r="L9" s="139" t="str">
        <f>IF($C$43&gt;$C$42,'Ｂ戦'!BM6,"")</f>
        <v>増尾レッドスターズ</v>
      </c>
      <c r="M9" s="139"/>
      <c r="N9" s="64">
        <f>IF($C$43&gt;$C$42,'Ｂ戦'!BN6,"")</f>
        <v>13</v>
      </c>
      <c r="O9" s="64">
        <f>IF($C$43&gt;$C$42,'Ｂ戦'!BO6,"")</f>
        <v>6</v>
      </c>
      <c r="P9" s="64">
        <f>IF($C$43&gt;$C$42,'Ｂ戦'!BP6,"")</f>
        <v>9</v>
      </c>
      <c r="Q9" s="64">
        <f>IF($C$43&gt;$C$42,MAX('Ｂ戦'!BF$4:BF$13)-'戦績'!P9-1,"")</f>
        <v>0</v>
      </c>
      <c r="T9" s="64" t="str">
        <f>IF(Z9&gt;0,"暫定"&amp;'Ｃ戦'!BL6&amp;"位","第"&amp;'Ｃ戦'!BL6&amp;"位")</f>
        <v>第2位</v>
      </c>
      <c r="U9" s="139" t="str">
        <f>IF($C$43&gt;$C$42,+'Ｃ戦'!BM6,"")</f>
        <v>八柱サンジュニアーズ</v>
      </c>
      <c r="V9" s="139"/>
      <c r="W9" s="64">
        <f>IF($C$43&gt;$C$42,+'Ｃ戦'!BN6,"")</f>
        <v>9</v>
      </c>
      <c r="X9" s="64">
        <f>IF($C$43&gt;$C$42,+'Ｃ戦'!BO6,"")</f>
        <v>4</v>
      </c>
      <c r="Y9" s="64">
        <f>IF($C$43&gt;$C$42,+'Ｃ戦'!BP6,"")</f>
        <v>7</v>
      </c>
      <c r="Z9" s="64">
        <f>IF($C$43&gt;$C$42,MAX('Ｃ戦'!BF$4:BF$13)-'戦績'!Y9-1,"")</f>
        <v>0</v>
      </c>
    </row>
    <row r="11" spans="2:26" ht="14.25">
      <c r="B11" s="141" t="str">
        <f>"Bブロック             試合消化率  "&amp;ROUND('Ａ戦'!AJ14*100,1)&amp;"％"</f>
        <v>Bブロック             試合消化率  89.3％</v>
      </c>
      <c r="C11" s="142"/>
      <c r="D11" s="142"/>
      <c r="E11" s="142"/>
      <c r="F11" s="142"/>
      <c r="G11" s="142"/>
      <c r="H11" s="143"/>
      <c r="K11" s="141" t="str">
        <f>"Ｂブロック             試合消化率  "&amp;ROUND('Ｂ戦'!AR16*100,1)&amp;"％"</f>
        <v>Ｂブロック             試合消化率  91.7％</v>
      </c>
      <c r="L11" s="142"/>
      <c r="M11" s="142"/>
      <c r="N11" s="142"/>
      <c r="O11" s="142"/>
      <c r="P11" s="142"/>
      <c r="Q11" s="143"/>
      <c r="T11" s="141" t="str">
        <f>"Bブロック             試合消化率  "&amp;ROUND('Ｃ戦'!AR16*100,1)&amp;"％"</f>
        <v>Bブロック             試合消化率  90.5％</v>
      </c>
      <c r="U11" s="142"/>
      <c r="V11" s="142"/>
      <c r="W11" s="142"/>
      <c r="X11" s="142"/>
      <c r="Y11" s="142"/>
      <c r="Z11" s="143"/>
    </row>
    <row r="12" spans="2:26" ht="14.25">
      <c r="B12" s="64" t="s">
        <v>32</v>
      </c>
      <c r="C12" s="144" t="s">
        <v>33</v>
      </c>
      <c r="D12" s="144"/>
      <c r="E12" s="66" t="s">
        <v>34</v>
      </c>
      <c r="F12" s="66" t="s">
        <v>35</v>
      </c>
      <c r="G12" s="66" t="s">
        <v>38</v>
      </c>
      <c r="H12" s="66" t="s">
        <v>39</v>
      </c>
      <c r="K12" s="64" t="s">
        <v>32</v>
      </c>
      <c r="L12" s="144" t="s">
        <v>33</v>
      </c>
      <c r="M12" s="144"/>
      <c r="N12" s="66" t="s">
        <v>34</v>
      </c>
      <c r="O12" s="66" t="s">
        <v>35</v>
      </c>
      <c r="P12" s="66" t="s">
        <v>38</v>
      </c>
      <c r="Q12" s="66" t="s">
        <v>39</v>
      </c>
      <c r="T12" s="64" t="s">
        <v>32</v>
      </c>
      <c r="U12" s="144" t="s">
        <v>33</v>
      </c>
      <c r="V12" s="144"/>
      <c r="W12" s="66" t="s">
        <v>34</v>
      </c>
      <c r="X12" s="66" t="s">
        <v>35</v>
      </c>
      <c r="Y12" s="66" t="s">
        <v>38</v>
      </c>
      <c r="Z12" s="66" t="s">
        <v>39</v>
      </c>
    </row>
    <row r="13" spans="2:26" ht="14.25">
      <c r="B13" s="65" t="str">
        <f>IF(H13&gt;0,"暫定"&amp;'Ａ戦'!AZ16&amp;"位",IF(SQRT((H13-H14)^2)*2+E14&gt;E13,"暫定"&amp;'Ａ戦'!AZ16&amp;"位","第"&amp;'Ａ戦'!AZ16&amp;"位"))</f>
        <v>第1位</v>
      </c>
      <c r="C13" s="145" t="str">
        <f>IF($C$43&gt;$C$42,+'Ａ戦'!BA16,"")</f>
        <v>常盤平ボーイズ</v>
      </c>
      <c r="D13" s="145"/>
      <c r="E13" s="65">
        <f>IF($C$43&gt;$C$42,+'Ａ戦'!BB16,"")</f>
        <v>12</v>
      </c>
      <c r="F13" s="65">
        <f>IF($C$43&gt;$C$42,+'Ａ戦'!BC16,"")</f>
        <v>6</v>
      </c>
      <c r="G13" s="65">
        <f>IF($C$43&gt;$C$42,+'Ａ戦'!BD16,"")</f>
        <v>7</v>
      </c>
      <c r="H13" s="65">
        <f>IF($C$43&gt;$C$42,MAX('Ａ戦'!AT16:AT23)-'戦績'!G13-1,"")</f>
        <v>0</v>
      </c>
      <c r="K13" s="65" t="str">
        <f>IF(Q13&gt;0,"暫定"&amp;'Ｂ戦'!BL18&amp;"位",IF(SQRT((Q13-Q14)^2)*2+N14&gt;N13,"暫定"&amp;'Ｂ戦'!BL18&amp;"位","第"&amp;'Ｂ戦'!BL18&amp;"位"))</f>
        <v>暫定1位</v>
      </c>
      <c r="L13" s="145" t="str">
        <f>IF($C$43&gt;$C$42,'Ｂ戦'!BM18,"")</f>
        <v>串崎スワローズ</v>
      </c>
      <c r="M13" s="145"/>
      <c r="N13" s="65">
        <f>IF($C$43&gt;$C$42,'Ｂ戦'!BN18,"")</f>
        <v>13</v>
      </c>
      <c r="O13" s="65">
        <f>IF($C$43&gt;$C$42,'Ｂ戦'!BO18,"")</f>
        <v>6</v>
      </c>
      <c r="P13" s="65">
        <f>IF($C$43&gt;$C$42,'Ｂ戦'!BP18,"")</f>
        <v>7</v>
      </c>
      <c r="Q13" s="65">
        <f>IF($C$43&gt;$C$42,MAX('Ｂ戦'!BF$18:BF$26)-'戦績'!P13-1,"")</f>
        <v>1</v>
      </c>
      <c r="T13" s="65" t="str">
        <f>IF(Z13&gt;0,"暫定"&amp;'Ｃ戦'!BL18&amp;"位",IF(SQRT((Z13-Z14)^2)*2+W14&gt;W13,"暫定"&amp;'Ｃ戦'!BL18&amp;"位","第"&amp;'Ｃ戦'!BL18&amp;"位"))</f>
        <v>第1位</v>
      </c>
      <c r="U13" s="145" t="str">
        <f>IF($C$43&gt;$C$42,+'Ｃ戦'!BM18,"")</f>
        <v>小金原ビクトリー</v>
      </c>
      <c r="V13" s="145"/>
      <c r="W13" s="65">
        <f>IF($C$43&gt;$C$42,+'Ｃ戦'!BN18,"")</f>
        <v>12</v>
      </c>
      <c r="X13" s="65">
        <f>IF($C$43&gt;$C$42,+'Ｃ戦'!BO18,"")</f>
        <v>6</v>
      </c>
      <c r="Y13" s="65">
        <f>IF($C$43&gt;$C$42,+'Ｃ戦'!BP18,"")</f>
        <v>6</v>
      </c>
      <c r="Z13" s="65">
        <f>IF($C$43&gt;$C$42,MAX('Ｃ戦'!BF$18:BF$27)-'戦績'!Y13-1,"")</f>
        <v>0</v>
      </c>
    </row>
    <row r="14" spans="2:26" ht="14.25">
      <c r="B14" s="64" t="str">
        <f>IF(H14&gt;0,"暫定"&amp;'Ａ戦'!AZ17&amp;"位",IF(SQRT((H14-H15)^2)*2+E15&gt;E14,"暫定"&amp;'Ａ戦'!AZ17&amp;"位","第"&amp;'Ａ戦'!AZ17&amp;"位"))</f>
        <v>第2位</v>
      </c>
      <c r="C14" s="139" t="str">
        <f>IF($C$43&gt;$C$42,+'Ａ戦'!BA17,"")</f>
        <v>増尾レッドスターズ</v>
      </c>
      <c r="D14" s="139"/>
      <c r="E14" s="64">
        <f>IF($C$43&gt;$C$42,+'Ａ戦'!BB17,"")</f>
        <v>11</v>
      </c>
      <c r="F14" s="64">
        <f>IF($C$43&gt;$C$42,+'Ａ戦'!BC17,"")</f>
        <v>5</v>
      </c>
      <c r="G14" s="64">
        <f>IF($C$43&gt;$C$42,+'Ａ戦'!BD17,"")</f>
        <v>7</v>
      </c>
      <c r="H14" s="64">
        <f>IF($C$43&gt;$C$42,MAX('Ａ戦'!AT16:AT23)-'戦績'!G14-1,"")</f>
        <v>0</v>
      </c>
      <c r="K14" s="64" t="str">
        <f>IF(Q14&gt;0,"暫定"&amp;'Ｂ戦'!BL19&amp;"位",IF(SQRT((Q14-Q15)^2)*2+N15&gt;N14,"暫定"&amp;'Ｂ戦'!BL19&amp;"位","第"&amp;'Ｂ戦'!BL19&amp;"位"))</f>
        <v>第2位</v>
      </c>
      <c r="L14" s="139" t="str">
        <f>IF($C$43&gt;$C$42,'Ｂ戦'!BM19,"")</f>
        <v>豊上ジュニアーズ</v>
      </c>
      <c r="M14" s="139"/>
      <c r="N14" s="64">
        <f>IF($C$43&gt;$C$42,'Ｂ戦'!BN19,"")</f>
        <v>12</v>
      </c>
      <c r="O14" s="64">
        <f>IF($C$43&gt;$C$42,'Ｂ戦'!BO19,"")</f>
        <v>6</v>
      </c>
      <c r="P14" s="64">
        <f>IF($C$43&gt;$C$42,'Ｂ戦'!BP19,"")</f>
        <v>8</v>
      </c>
      <c r="Q14" s="64">
        <f>IF($C$43&gt;$C$42,MAX('Ｂ戦'!BF$18:BF$26)-'戦績'!P14-1,"")</f>
        <v>0</v>
      </c>
      <c r="T14" s="64" t="str">
        <f>IF(Z14&gt;0,"暫定"&amp;'Ｃ戦'!BL19&amp;"位",IF(SQRT((Z14-Z15)^2)*2+W15&gt;W14,"暫定"&amp;'Ｃ戦'!BL19&amp;"位","第"&amp;'Ｃ戦'!BL19&amp;"位"))</f>
        <v>第2位</v>
      </c>
      <c r="U14" s="139" t="str">
        <f>IF($C$43&gt;$C$42,+'Ｃ戦'!BM19,"")</f>
        <v>サンスパッツ</v>
      </c>
      <c r="V14" s="139"/>
      <c r="W14" s="64">
        <f>IF($C$43&gt;$C$42,+'Ｃ戦'!BN19,"")</f>
        <v>8</v>
      </c>
      <c r="X14" s="64">
        <f>IF($C$43&gt;$C$42,+'Ｃ戦'!BO19,"")</f>
        <v>4</v>
      </c>
      <c r="Y14" s="64">
        <f>IF($C$43&gt;$C$42,+'Ｃ戦'!BP19,"")</f>
        <v>6</v>
      </c>
      <c r="Z14" s="64">
        <f>IF($C$43&gt;$C$42,MAX('Ｃ戦'!BF$18:BF$27)-'戦績'!Y14-1,"")</f>
        <v>0</v>
      </c>
    </row>
    <row r="15" spans="2:26" ht="14.25">
      <c r="B15" s="64" t="str">
        <f>IF(H15&gt;0,"暫定"&amp;'Ａ戦'!AZ18&amp;"位","第"&amp;'Ａ戦'!AZ18&amp;"位")</f>
        <v>第3位</v>
      </c>
      <c r="C15" s="139" t="str">
        <f>IF($C$43&gt;$C$42,+'Ａ戦'!BA18,"")</f>
        <v>高塚新田ラークス</v>
      </c>
      <c r="D15" s="139"/>
      <c r="E15" s="64">
        <f>IF($C$43&gt;$C$42,+'Ａ戦'!BB18,"")</f>
        <v>10</v>
      </c>
      <c r="F15" s="64">
        <f>IF($C$43&gt;$C$42,+'Ａ戦'!BC18,"")</f>
        <v>5</v>
      </c>
      <c r="G15" s="64">
        <f>IF($C$43&gt;$C$42,+'Ａ戦'!BD18,"")</f>
        <v>7</v>
      </c>
      <c r="H15" s="64">
        <f>IF($C$43&gt;$C$42,MAX('Ａ戦'!AT16:AT23)-'戦績'!G15-1,"")</f>
        <v>0</v>
      </c>
      <c r="K15" s="64" t="str">
        <f>IF(Q15&gt;0,"暫定"&amp;'Ｂ戦'!BL20&amp;"位",IF(SQRT((Q15-Q16)^2)*2+N16&gt;N15,"暫定"&amp;'Ｂ戦'!BL20&amp;"位","第"&amp;'Ｂ戦'!BL20&amp;"位"))</f>
        <v>第3位</v>
      </c>
      <c r="L15" s="139" t="str">
        <f>IF($C$43&gt;$C$42,'Ｂ戦'!BM20,"")</f>
        <v>光インパルス</v>
      </c>
      <c r="M15" s="139"/>
      <c r="N15" s="64">
        <f>IF($C$43&gt;$C$42,'Ｂ戦'!BN20,"")</f>
        <v>10</v>
      </c>
      <c r="O15" s="64">
        <f>IF($C$43&gt;$C$42,'Ｂ戦'!BO20,"")</f>
        <v>5</v>
      </c>
      <c r="P15" s="64">
        <f>IF($C$43&gt;$C$42,'Ｂ戦'!BP20,"")</f>
        <v>8</v>
      </c>
      <c r="Q15" s="64">
        <f>IF($C$43&gt;$C$42,MAX('Ｂ戦'!BF$18:BF$26)-'戦績'!P15-1,"")</f>
        <v>0</v>
      </c>
      <c r="T15" s="64" t="str">
        <f>IF(Z15&gt;0,"暫定"&amp;'Ｃ戦'!BL20&amp;"位","第"&amp;'Ｃ戦'!BL20&amp;"位")</f>
        <v>暫定3位</v>
      </c>
      <c r="U15" s="139" t="str">
        <f>IF($C$43&gt;$C$42,+'Ｃ戦'!BM20,"")</f>
        <v>ＬＢＣ</v>
      </c>
      <c r="V15" s="139"/>
      <c r="W15" s="64">
        <f>IF($C$43&gt;$C$42,+'Ｃ戦'!BN20,"")</f>
        <v>6</v>
      </c>
      <c r="X15" s="64">
        <f>IF($C$43&gt;$C$42,+'Ｃ戦'!BO20,"")</f>
        <v>3</v>
      </c>
      <c r="Y15" s="64">
        <f>IF($C$43&gt;$C$42,+'Ｃ戦'!BP20,"")</f>
        <v>5</v>
      </c>
      <c r="Z15" s="64">
        <f>IF($C$43&gt;$C$42,MAX('Ｃ戦'!BF$18:BF$27)-'戦績'!Y15-1,"")</f>
        <v>1</v>
      </c>
    </row>
    <row r="17" spans="2:26" ht="14.25">
      <c r="B17" s="141" t="str">
        <f>"Cブロック             試合消化率  "&amp;ROUND('Ａ戦'!AJ25*100,1)&amp;"％"</f>
        <v>Cブロック             試合消化率  96.4％</v>
      </c>
      <c r="C17" s="142"/>
      <c r="D17" s="142"/>
      <c r="E17" s="142"/>
      <c r="F17" s="142"/>
      <c r="G17" s="142"/>
      <c r="H17" s="143"/>
      <c r="K17" s="141" t="str">
        <f>"Ｃブロック             試合消化率  "&amp;ROUND('Ｂ戦'!AR30*100,1)&amp;"％"</f>
        <v>Ｃブロック             試合消化率  91.7％</v>
      </c>
      <c r="L17" s="142"/>
      <c r="M17" s="142"/>
      <c r="N17" s="142"/>
      <c r="O17" s="142"/>
      <c r="P17" s="142"/>
      <c r="Q17" s="143"/>
      <c r="T17" s="141" t="str">
        <f>"Cブロック             試合消化率  "&amp;ROUND('Ｃ戦'!AR30*100,1)&amp;"％"</f>
        <v>Cブロック             試合消化率  100％</v>
      </c>
      <c r="U17" s="142"/>
      <c r="V17" s="142"/>
      <c r="W17" s="142"/>
      <c r="X17" s="142"/>
      <c r="Y17" s="142"/>
      <c r="Z17" s="143"/>
    </row>
    <row r="18" spans="2:26" ht="14.25">
      <c r="B18" s="64" t="s">
        <v>32</v>
      </c>
      <c r="C18" s="144" t="s">
        <v>33</v>
      </c>
      <c r="D18" s="144"/>
      <c r="E18" s="66" t="s">
        <v>34</v>
      </c>
      <c r="F18" s="66" t="s">
        <v>35</v>
      </c>
      <c r="G18" s="66" t="s">
        <v>38</v>
      </c>
      <c r="H18" s="66" t="s">
        <v>39</v>
      </c>
      <c r="K18" s="64" t="s">
        <v>32</v>
      </c>
      <c r="L18" s="144" t="s">
        <v>33</v>
      </c>
      <c r="M18" s="144"/>
      <c r="N18" s="66" t="s">
        <v>34</v>
      </c>
      <c r="O18" s="66" t="s">
        <v>35</v>
      </c>
      <c r="P18" s="66" t="s">
        <v>38</v>
      </c>
      <c r="Q18" s="66" t="s">
        <v>39</v>
      </c>
      <c r="T18" s="64" t="s">
        <v>32</v>
      </c>
      <c r="U18" s="144" t="s">
        <v>33</v>
      </c>
      <c r="V18" s="144"/>
      <c r="W18" s="66" t="s">
        <v>34</v>
      </c>
      <c r="X18" s="66" t="s">
        <v>35</v>
      </c>
      <c r="Y18" s="66" t="s">
        <v>38</v>
      </c>
      <c r="Z18" s="66" t="s">
        <v>39</v>
      </c>
    </row>
    <row r="19" spans="2:26" ht="14.25">
      <c r="B19" s="65" t="str">
        <f>IF(H19&gt;0,"暫定"&amp;'Ａ戦'!AZ27&amp;"位",IF(SQRT((H19-H20)^2)*2+E20&gt;E19,"暫定"&amp;'Ａ戦'!AZ27&amp;"位","第"&amp;'Ａ戦'!AZ27&amp;"位"))</f>
        <v>第1位</v>
      </c>
      <c r="C19" s="145" t="str">
        <f>IF($C$43&gt;$C$42,+'Ａ戦'!BA27,"")</f>
        <v>若草</v>
      </c>
      <c r="D19" s="145"/>
      <c r="E19" s="65">
        <f>IF($C$43&gt;$C$42,+'Ａ戦'!BB27,"")</f>
        <v>14</v>
      </c>
      <c r="F19" s="65">
        <f>IF($C$43&gt;$C$42,+'Ａ戦'!BC27,"")</f>
        <v>7</v>
      </c>
      <c r="G19" s="65">
        <f>IF($C$43&gt;$C$42,+'Ａ戦'!BD27,"")</f>
        <v>7</v>
      </c>
      <c r="H19" s="65">
        <f>IF($C$43&gt;$C$42,MAX('Ａ戦'!AT27:AT34)-'戦績'!G19-1,"")</f>
        <v>0</v>
      </c>
      <c r="K19" s="65" t="str">
        <f>IF(Q19&gt;0,"暫定"&amp;'Ｂ戦'!BL32&amp;"位",IF(SQRT((Q19-Q20)^2)*2+N20&gt;N19,"暫定"&amp;'Ｂ戦'!BL32&amp;"位","第"&amp;'Ｂ戦'!BL32&amp;"位"))</f>
        <v>第1位</v>
      </c>
      <c r="L19" s="145" t="str">
        <f>IF($C$43&gt;$C$42,'Ｂ戦'!BM32,"")</f>
        <v>柏ボーイング</v>
      </c>
      <c r="M19" s="145"/>
      <c r="N19" s="65">
        <f>IF($C$43&gt;$C$42,'Ｂ戦'!BN32,"")</f>
        <v>15</v>
      </c>
      <c r="O19" s="65">
        <f>IF($C$43&gt;$C$42,'Ｂ戦'!BO32,"")</f>
        <v>7</v>
      </c>
      <c r="P19" s="65">
        <f>IF($C$43&gt;$C$42,'Ｂ戦'!BP32,"")</f>
        <v>8</v>
      </c>
      <c r="Q19" s="65">
        <f>IF($C$43&gt;$C$42,MAX('Ｂ戦'!BF$32:BF$40)-'戦績'!P19-1,"")</f>
        <v>0</v>
      </c>
      <c r="T19" s="65" t="s">
        <v>76</v>
      </c>
      <c r="U19" s="145" t="str">
        <f>IF($C$43&gt;$C$42,+'Ｃ戦'!BM32,"")</f>
        <v>常盤平ボーイズ</v>
      </c>
      <c r="V19" s="145"/>
      <c r="W19" s="65">
        <f>IF($C$43&gt;$C$42,+'Ｃ戦'!BN32,"")</f>
        <v>9</v>
      </c>
      <c r="X19" s="65">
        <f>IF($C$43&gt;$C$42,+'Ｃ戦'!BO32,"")</f>
        <v>4</v>
      </c>
      <c r="Y19" s="65">
        <f>IF($C$43&gt;$C$42,+'Ｃ戦'!BP32,"")</f>
        <v>6</v>
      </c>
      <c r="Z19" s="65">
        <f>IF($C$43&gt;$C$42,MAX('Ｃ戦'!BF$32:BF$41)-'戦績'!Y19-1,"")</f>
        <v>0</v>
      </c>
    </row>
    <row r="20" spans="2:26" ht="14.25">
      <c r="B20" s="64" t="str">
        <f>IF(H20&gt;0,"暫定"&amp;'Ａ戦'!AZ28&amp;"位",IF(SQRT((H20-H21)^2)*2+E21&gt;E20,"暫定"&amp;'Ａ戦'!AZ28&amp;"位","第"&amp;'Ａ戦'!AZ28&amp;"位"))</f>
        <v>第2位</v>
      </c>
      <c r="C20" s="139" t="str">
        <f>IF($C$43&gt;$C$42,+'Ａ戦'!BA28,"")</f>
        <v>ヤングスターズ</v>
      </c>
      <c r="D20" s="139"/>
      <c r="E20" s="64">
        <f>IF($C$43&gt;$C$42,+'Ａ戦'!BB28,"")</f>
        <v>11</v>
      </c>
      <c r="F20" s="64">
        <f>IF($C$43&gt;$C$42,+'Ａ戦'!BC28,"")</f>
        <v>5</v>
      </c>
      <c r="G20" s="64">
        <f>IF($C$43&gt;$C$42,+'Ａ戦'!BD28,"")</f>
        <v>7</v>
      </c>
      <c r="H20" s="64">
        <f>IF($C$43&gt;$C$42,MAX('Ａ戦'!AT28:AT35)-'戦績'!G20-1,"")</f>
        <v>0</v>
      </c>
      <c r="K20" s="64" t="str">
        <f>IF(Q20&gt;0,"暫定"&amp;'Ｂ戦'!BL33&amp;"位",IF(SQRT((Q20-Q21)^2)*2+N21&gt;N20,"暫定"&amp;'Ｂ戦'!BL33&amp;"位","第"&amp;'Ｂ戦'!BL33&amp;"位"))</f>
        <v>第2位</v>
      </c>
      <c r="L20" s="139" t="str">
        <f>IF($C$43&gt;$C$42,'Ｂ戦'!BM33,"")</f>
        <v>常盤平ボーイズ</v>
      </c>
      <c r="M20" s="139"/>
      <c r="N20" s="64">
        <f>IF($C$43&gt;$C$42,'Ｂ戦'!BN33,"")</f>
        <v>13</v>
      </c>
      <c r="O20" s="64">
        <f>IF($C$43&gt;$C$42,'Ｂ戦'!BO33,"")</f>
        <v>6</v>
      </c>
      <c r="P20" s="64">
        <f>IF($C$43&gt;$C$42,'Ｂ戦'!BP33,"")</f>
        <v>8</v>
      </c>
      <c r="Q20" s="64">
        <f>IF($C$43&gt;$C$42,MAX('Ｂ戦'!BF$32:BF$40)-'戦績'!P20-1,"")</f>
        <v>0</v>
      </c>
      <c r="T20" s="64" t="str">
        <f>IF(Z20&gt;0,"暫定"&amp;'Ｃ戦'!BL33&amp;"位",IF(SQRT((Z20-Z21)^2)*2+W21&gt;W20,"暫定"&amp;'Ｃ戦'!BL33&amp;"位","第"&amp;'Ｃ戦'!BL33&amp;"位"))</f>
        <v>第1位</v>
      </c>
      <c r="U20" s="139" t="str">
        <f>IF($C$43&gt;$C$42,+'Ｃ戦'!BM33,"")</f>
        <v>沼南フラワーズ</v>
      </c>
      <c r="V20" s="139"/>
      <c r="W20" s="64">
        <f>IF($C$43&gt;$C$42,+'Ｃ戦'!BN33,"")</f>
        <v>9</v>
      </c>
      <c r="X20" s="64">
        <f>IF($C$43&gt;$C$42,+'Ｃ戦'!BO33,"")</f>
        <v>4</v>
      </c>
      <c r="Y20" s="64">
        <f>IF($C$43&gt;$C$42,+'Ｃ戦'!BP33,"")</f>
        <v>6</v>
      </c>
      <c r="Z20" s="64">
        <f>IF($C$43&gt;$C$42,MAX('Ｃ戦'!BF$32:BF$41)-'戦績'!Y20-1,"")</f>
        <v>0</v>
      </c>
    </row>
    <row r="21" spans="2:26" ht="14.25">
      <c r="B21" s="64" t="str">
        <f>IF(H21&gt;0,"暫定"&amp;'Ａ戦'!AZ29&amp;"位","第"&amp;'Ａ戦'!AZ29&amp;"位")</f>
        <v>第3位</v>
      </c>
      <c r="C21" s="139" t="str">
        <f>IF($C$43&gt;$C$42,+'Ａ戦'!BA29,"")</f>
        <v>リトルイーグルス</v>
      </c>
      <c r="D21" s="139"/>
      <c r="E21" s="64">
        <f>IF($C$43&gt;$C$42,+'Ａ戦'!BB29,"")</f>
        <v>9</v>
      </c>
      <c r="F21" s="64">
        <f>IF($C$43&gt;$C$42,+'Ａ戦'!BC29,"")</f>
        <v>4</v>
      </c>
      <c r="G21" s="64">
        <f>IF($C$43&gt;$C$42,+'Ａ戦'!BD29,"")</f>
        <v>7</v>
      </c>
      <c r="H21" s="64">
        <f>IF($C$43&gt;$C$42,MAX('Ａ戦'!AT29:AT36)-'戦績'!G21-1,"")</f>
        <v>0</v>
      </c>
      <c r="K21" s="64" t="str">
        <f>IF(Q21&gt;0,"暫定"&amp;'Ｂ戦'!BL34&amp;"位",IF(SQRT((Q21-Q22)^2)*2+N22&gt;N21,"暫定"&amp;'Ｂ戦'!BL34&amp;"位","第"&amp;'Ｂ戦'!BL34&amp;"位"))</f>
        <v>第3位</v>
      </c>
      <c r="L21" s="139" t="str">
        <f>IF($C$43&gt;$C$42,'Ｂ戦'!BM34,"")</f>
        <v>セントラルパークス</v>
      </c>
      <c r="M21" s="139"/>
      <c r="N21" s="64">
        <f>IF($C$43&gt;$C$42,'Ｂ戦'!BN34,"")</f>
        <v>12</v>
      </c>
      <c r="O21" s="64">
        <f>IF($C$43&gt;$C$42,'Ｂ戦'!BO34,"")</f>
        <v>6</v>
      </c>
      <c r="P21" s="64">
        <f>IF($C$43&gt;$C$42,'Ｂ戦'!BP34,"")</f>
        <v>8</v>
      </c>
      <c r="Q21" s="64">
        <f>IF($C$43&gt;$C$42,MAX('Ｂ戦'!BF$32:BF$40)-'戦績'!P21-1,"")</f>
        <v>0</v>
      </c>
      <c r="T21" s="64" t="str">
        <f>IF(Z21&gt;0,"暫定"&amp;'Ｃ戦'!BL34&amp;"位","第"&amp;'Ｃ戦'!BL34&amp;"位")</f>
        <v>第3位</v>
      </c>
      <c r="U21" s="139" t="str">
        <f>IF($C$43&gt;$C$42,+'Ｃ戦'!BM34,"")</f>
        <v>清水口ファイターズ</v>
      </c>
      <c r="V21" s="139"/>
      <c r="W21" s="64">
        <f>IF($C$43&gt;$C$42,+'Ｃ戦'!BN34,"")</f>
        <v>8</v>
      </c>
      <c r="X21" s="64">
        <f>IF($C$43&gt;$C$42,+'Ｃ戦'!BO34,"")</f>
        <v>3</v>
      </c>
      <c r="Y21" s="64">
        <f>IF($C$43&gt;$C$42,+'Ｃ戦'!BP34,"")</f>
        <v>6</v>
      </c>
      <c r="Z21" s="64">
        <f>IF($C$43&gt;$C$42,MAX('Ｃ戦'!BF$32:BF$41)-'戦績'!Y21-1,"")</f>
        <v>0</v>
      </c>
    </row>
    <row r="23" spans="2:26" ht="14.25">
      <c r="B23" s="141" t="str">
        <f>"Dブロック             試合消化率  "&amp;ROUND('Ａ戦'!AJ36*100,1)&amp;"％"</f>
        <v>Dブロック             試合消化率  92.9％</v>
      </c>
      <c r="C23" s="142"/>
      <c r="D23" s="142"/>
      <c r="E23" s="142"/>
      <c r="F23" s="142"/>
      <c r="G23" s="142"/>
      <c r="H23" s="143"/>
      <c r="K23" s="141" t="str">
        <f>"Ｄブロック             試合消化率  "&amp;ROUND('Ｂ戦'!AR44*100,1)&amp;"％"</f>
        <v>Ｄブロック             試合消化率  88.9％</v>
      </c>
      <c r="L23" s="142"/>
      <c r="M23" s="142"/>
      <c r="N23" s="142"/>
      <c r="O23" s="142"/>
      <c r="P23" s="142"/>
      <c r="Q23" s="143"/>
      <c r="T23" s="141" t="str">
        <f>"Dブロック             試合消化率  "&amp;ROUND('Ｃ戦'!AR44*100,1)&amp;"％"</f>
        <v>Dブロック             試合消化率  90.5％</v>
      </c>
      <c r="U23" s="142"/>
      <c r="V23" s="142"/>
      <c r="W23" s="142"/>
      <c r="X23" s="142"/>
      <c r="Y23" s="142"/>
      <c r="Z23" s="143"/>
    </row>
    <row r="24" spans="2:26" ht="14.25">
      <c r="B24" s="64" t="s">
        <v>32</v>
      </c>
      <c r="C24" s="144" t="s">
        <v>33</v>
      </c>
      <c r="D24" s="144"/>
      <c r="E24" s="66" t="s">
        <v>34</v>
      </c>
      <c r="F24" s="66" t="s">
        <v>35</v>
      </c>
      <c r="G24" s="66" t="s">
        <v>38</v>
      </c>
      <c r="H24" s="66" t="s">
        <v>39</v>
      </c>
      <c r="K24" s="64" t="s">
        <v>32</v>
      </c>
      <c r="L24" s="144" t="s">
        <v>33</v>
      </c>
      <c r="M24" s="144"/>
      <c r="N24" s="66" t="s">
        <v>34</v>
      </c>
      <c r="O24" s="66" t="s">
        <v>35</v>
      </c>
      <c r="P24" s="66" t="s">
        <v>38</v>
      </c>
      <c r="Q24" s="66" t="s">
        <v>39</v>
      </c>
      <c r="T24" s="64" t="s">
        <v>32</v>
      </c>
      <c r="U24" s="144" t="s">
        <v>33</v>
      </c>
      <c r="V24" s="144"/>
      <c r="W24" s="66" t="s">
        <v>34</v>
      </c>
      <c r="X24" s="66" t="s">
        <v>35</v>
      </c>
      <c r="Y24" s="66" t="s">
        <v>38</v>
      </c>
      <c r="Z24" s="66" t="s">
        <v>39</v>
      </c>
    </row>
    <row r="25" spans="2:26" ht="14.25">
      <c r="B25" s="65" t="str">
        <f>IF(H25&gt;0,"暫定"&amp;'Ａ戦'!AZ38&amp;"位",IF(SQRT((H25-H26)^2)*2+E26&gt;E25,"暫定"&amp;'Ａ戦'!AZ38&amp;"位","第"&amp;'Ａ戦'!AZ38&amp;"位"))</f>
        <v>第1位</v>
      </c>
      <c r="C25" s="145" t="str">
        <f>IF($C$43&gt;$C$42,+'Ａ戦'!BA38,"")</f>
        <v>小金原ビクトリー</v>
      </c>
      <c r="D25" s="145"/>
      <c r="E25" s="65">
        <f>IF($C$43&gt;$C$42,+'Ａ戦'!BB38,"")</f>
        <v>10</v>
      </c>
      <c r="F25" s="65">
        <f>IF($C$43&gt;$C$42,+'Ａ戦'!BC38,"")</f>
        <v>5</v>
      </c>
      <c r="G25" s="65">
        <f>IF($C$43&gt;$C$42,+'Ａ戦'!BD38,"")</f>
        <v>7</v>
      </c>
      <c r="H25" s="65">
        <f>IF($C$43&gt;$C$42,MAX('Ａ戦'!AT38:AT45)-'戦績'!G25-1,"")</f>
        <v>0</v>
      </c>
      <c r="K25" s="65" t="str">
        <f>IF(Q25&gt;0,"暫定"&amp;'Ｂ戦'!BL46&amp;"位",IF(SQRT((Q25-Q26)^2)*2+N26&gt;N25,"暫定"&amp;'Ｂ戦'!BL46&amp;"位","第"&amp;'Ｂ戦'!BL46&amp;"位"))</f>
        <v>第1位</v>
      </c>
      <c r="L25" s="145" t="str">
        <f>IF($C$43&gt;$C$42,'Ｂ戦'!BM46,"")</f>
        <v>東部フェニックス</v>
      </c>
      <c r="M25" s="145"/>
      <c r="N25" s="65">
        <f>IF($C$43&gt;$C$42,'Ｂ戦'!BN46,"")</f>
        <v>16</v>
      </c>
      <c r="O25" s="65">
        <f>IF($C$43&gt;$C$42,'Ｂ戦'!BO46,"")</f>
        <v>8</v>
      </c>
      <c r="P25" s="65">
        <f>IF($C$43&gt;$C$42,'Ｂ戦'!BP46,"")</f>
        <v>8</v>
      </c>
      <c r="Q25" s="65">
        <f>IF($C$43&gt;$C$42,MAX('Ｂ戦'!BF$46:BF$54)-'戦績'!P25-1,"")</f>
        <v>0</v>
      </c>
      <c r="T25" s="65" t="str">
        <f>IF(Z25&gt;0,"暫定"&amp;'Ｃ戦'!BL46&amp;"位",IF(SQRT((Z25-Z26)^2)*2+W26&gt;W25,"暫定"&amp;'Ｃ戦'!BL46&amp;"位","第"&amp;'Ｃ戦'!BL46&amp;"位"))</f>
        <v>第1位</v>
      </c>
      <c r="U25" s="145" t="str">
        <f>IF($C$43&gt;$C$42,+'Ｃ戦'!BM46,"")</f>
        <v>松戸中央エンジェルス</v>
      </c>
      <c r="V25" s="145"/>
      <c r="W25" s="65">
        <f>IF($C$43&gt;$C$42,+'Ｃ戦'!BN46,"")</f>
        <v>12</v>
      </c>
      <c r="X25" s="65">
        <f>IF($C$43&gt;$C$42,+'Ｃ戦'!BO46,"")</f>
        <v>6</v>
      </c>
      <c r="Y25" s="65">
        <f>IF($C$43&gt;$C$42,+'Ｃ戦'!BP46,"")</f>
        <v>6</v>
      </c>
      <c r="Z25" s="65">
        <f>IF($C$43&gt;$C$42,MAX('Ｃ戦'!BF$46:BF$54)-'戦績'!Y25-1,"")</f>
        <v>0</v>
      </c>
    </row>
    <row r="26" spans="2:26" ht="14.25">
      <c r="B26" s="64" t="str">
        <f>IF(H26&gt;0,"暫定"&amp;'Ａ戦'!AZ39&amp;"位",IF(SQRT((H26-H27)^2)*2+E27&gt;E26,"暫定"&amp;'Ａ戦'!AZ39&amp;"位","第"&amp;'Ａ戦'!AZ39&amp;"位"))</f>
        <v>第1位</v>
      </c>
      <c r="C26" s="139" t="str">
        <f>IF($C$43&gt;$C$42,+'Ａ戦'!BA39,"")</f>
        <v>球　人　ズ</v>
      </c>
      <c r="D26" s="139"/>
      <c r="E26" s="64">
        <f>IF($C$43&gt;$C$42,+'Ａ戦'!BB39,"")</f>
        <v>10</v>
      </c>
      <c r="F26" s="64">
        <f>IF($C$43&gt;$C$42,+'Ａ戦'!BC39,"")</f>
        <v>4</v>
      </c>
      <c r="G26" s="64">
        <f>IF($C$43&gt;$C$42,+'Ａ戦'!BD39,"")</f>
        <v>7</v>
      </c>
      <c r="H26" s="64">
        <f>IF($C$43&gt;$C$42,MAX('Ａ戦'!AT39:AT46)-'戦績'!G26-1,"")</f>
        <v>0</v>
      </c>
      <c r="K26" s="64" t="str">
        <f>IF(Q26&gt;0,"暫定"&amp;'Ｂ戦'!BL47&amp;"位",IF(SQRT((Q26-Q27)^2)*2+N27&gt;N26,"暫定"&amp;'Ｂ戦'!BL47&amp;"位","第"&amp;'Ｂ戦'!BL47&amp;"位"))</f>
        <v>第2位</v>
      </c>
      <c r="L26" s="139" t="str">
        <f>IF($C$43&gt;$C$42,'Ｂ戦'!BM47,"")</f>
        <v>木刈ファイターズ</v>
      </c>
      <c r="M26" s="139"/>
      <c r="N26" s="64">
        <f>IF($C$43&gt;$C$42,'Ｂ戦'!BN47,"")</f>
        <v>14</v>
      </c>
      <c r="O26" s="64">
        <f>IF($C$43&gt;$C$42,'Ｂ戦'!BO47,"")</f>
        <v>7</v>
      </c>
      <c r="P26" s="64">
        <f>IF($C$43&gt;$C$42,'Ｂ戦'!BP47,"")</f>
        <v>8</v>
      </c>
      <c r="Q26" s="64">
        <f>IF($C$43&gt;$C$42,MAX('Ｂ戦'!BF$46:BF$54)-'戦績'!P26-1,"")</f>
        <v>0</v>
      </c>
      <c r="T26" s="64" t="str">
        <f>IF(Z26&gt;0,"暫定"&amp;'Ｃ戦'!BL47&amp;"位",IF(SQRT((Z26-Z27)^2)*2+W27&gt;W26,"暫定"&amp;'Ｃ戦'!BL47&amp;"位","第"&amp;'Ｃ戦'!BL47&amp;"位"))</f>
        <v>第2位</v>
      </c>
      <c r="U26" s="139" t="str">
        <f>IF($C$43&gt;$C$42,+'Ｃ戦'!BM47,"")</f>
        <v>リトルジャガース</v>
      </c>
      <c r="V26" s="139"/>
      <c r="W26" s="64">
        <f>IF($C$43&gt;$C$42,+'Ｃ戦'!BN47,"")</f>
        <v>8</v>
      </c>
      <c r="X26" s="64">
        <f>IF($C$43&gt;$C$42,+'Ｃ戦'!BO47,"")</f>
        <v>4</v>
      </c>
      <c r="Y26" s="64">
        <f>IF($C$43&gt;$C$42,+'Ｃ戦'!BP47,"")</f>
        <v>6</v>
      </c>
      <c r="Z26" s="64">
        <f>IF($C$43&gt;$C$42,MAX('Ｃ戦'!BF$46:BF$54)-'戦績'!Y26-1,"")</f>
        <v>0</v>
      </c>
    </row>
    <row r="27" spans="2:26" ht="14.25">
      <c r="B27" s="64" t="str">
        <f>IF(H27&gt;0,"暫定"&amp;'Ａ戦'!AZ40&amp;"位","第"&amp;'Ａ戦'!AZ40&amp;"位")</f>
        <v>第1位</v>
      </c>
      <c r="C27" s="139" t="str">
        <f>IF($C$43&gt;$C$42,+'Ａ戦'!BA40,"")</f>
        <v>新富少年野球部</v>
      </c>
      <c r="D27" s="139"/>
      <c r="E27" s="64">
        <f>IF($C$43&gt;$C$42,+'Ａ戦'!BB40,"")</f>
        <v>10</v>
      </c>
      <c r="F27" s="64">
        <f>IF($C$43&gt;$C$42,+'Ａ戦'!BC40,"")</f>
        <v>5</v>
      </c>
      <c r="G27" s="64">
        <f>IF($C$43&gt;$C$42,+'Ａ戦'!BD40,"")</f>
        <v>7</v>
      </c>
      <c r="H27" s="64">
        <f>IF($C$43&gt;$C$42,MAX('Ａ戦'!AT40:AT47)-'戦績'!G27-1,"")</f>
        <v>0</v>
      </c>
      <c r="K27" s="64" t="str">
        <f>IF(Q27&gt;0,"暫定"&amp;'Ｂ戦'!BL48&amp;"位",IF(SQRT((Q27-Q28)^2)*2+N28&gt;N27,"暫定"&amp;'Ｂ戦'!BL48&amp;"位","第"&amp;'Ｂ戦'!BL48&amp;"位"))</f>
        <v>暫定3位</v>
      </c>
      <c r="L27" s="139" t="str">
        <f>IF($C$43&gt;$C$42,'Ｂ戦'!BM48,"")</f>
        <v>牧の原ジュニアーズ</v>
      </c>
      <c r="M27" s="139"/>
      <c r="N27" s="64">
        <f>IF($C$43&gt;$C$42,'Ｂ戦'!BN48,"")</f>
        <v>8</v>
      </c>
      <c r="O27" s="64">
        <f>IF($C$43&gt;$C$42,'Ｂ戦'!BO48,"")</f>
        <v>4</v>
      </c>
      <c r="P27" s="64">
        <f>IF($C$43&gt;$C$42,'Ｂ戦'!BP48,"")</f>
        <v>7</v>
      </c>
      <c r="Q27" s="64">
        <f>IF($C$43&gt;$C$42,MAX('Ｂ戦'!BF$46:BF$54)-'戦績'!P27-1,"")</f>
        <v>1</v>
      </c>
      <c r="T27" s="64" t="str">
        <f>IF(Z27&gt;0,"暫定"&amp;'Ｃ戦'!BL48&amp;"位","第"&amp;'Ｃ戦'!BL48&amp;"位")</f>
        <v>第3位</v>
      </c>
      <c r="U27" s="139" t="str">
        <f>IF($C$43&gt;$C$42,+'Ｃ戦'!BM48,"")</f>
        <v>野菊野ファイターズ</v>
      </c>
      <c r="V27" s="139"/>
      <c r="W27" s="64">
        <f>IF($C$43&gt;$C$42,+'Ｃ戦'!BN48,"")</f>
        <v>6</v>
      </c>
      <c r="X27" s="64">
        <f>IF($C$43&gt;$C$42,+'Ｃ戦'!BO48,"")</f>
        <v>3</v>
      </c>
      <c r="Y27" s="64">
        <f>IF($C$43&gt;$C$42,+'Ｃ戦'!BP48,"")</f>
        <v>6</v>
      </c>
      <c r="Z27" s="64">
        <f>IF($C$43&gt;$C$42,MAX('Ｃ戦'!BF$46:BF$54)-'戦績'!Y27-1,"")</f>
        <v>0</v>
      </c>
    </row>
    <row r="29" spans="2:8" ht="14.25">
      <c r="B29" s="141" t="str">
        <f>"Eブロック             試合消化率  "&amp;ROUND('Ａ戦'!AJ49*100,1)&amp;"％"</f>
        <v>Eブロック             試合消化率  95.2％</v>
      </c>
      <c r="C29" s="142"/>
      <c r="D29" s="142"/>
      <c r="E29" s="142"/>
      <c r="F29" s="142"/>
      <c r="G29" s="142"/>
      <c r="H29" s="143"/>
    </row>
    <row r="30" spans="2:15" ht="14.25">
      <c r="B30" s="64" t="s">
        <v>32</v>
      </c>
      <c r="C30" s="144" t="s">
        <v>33</v>
      </c>
      <c r="D30" s="144"/>
      <c r="E30" s="66" t="s">
        <v>34</v>
      </c>
      <c r="F30" s="66" t="s">
        <v>35</v>
      </c>
      <c r="G30" s="66" t="s">
        <v>38</v>
      </c>
      <c r="H30" s="66" t="s">
        <v>39</v>
      </c>
      <c r="M30" s="147" t="s">
        <v>43</v>
      </c>
      <c r="N30" s="147"/>
      <c r="O30" s="147"/>
    </row>
    <row r="31" spans="2:17" ht="14.25">
      <c r="B31" s="65" t="str">
        <f>IF(H31&gt;0,"暫定"&amp;'Ａ戦'!AZ51&amp;"位",IF(SQRT((H31-H32)^2)*2+E32&gt;E31,"暫定"&amp;'Ａ戦'!AZ51&amp;"位","第"&amp;'Ａ戦'!AZ51&amp;"位"))</f>
        <v>第1位</v>
      </c>
      <c r="C31" s="145" t="str">
        <f>IF($C$43&gt;$C$42,+'Ａ戦'!BA51,"")</f>
        <v>藤心ジャガース</v>
      </c>
      <c r="D31" s="145"/>
      <c r="E31" s="65">
        <f>IF($C$43&gt;$C$42,+'Ａ戦'!BB51,"")</f>
        <v>11</v>
      </c>
      <c r="F31" s="65">
        <f>IF($C$43&gt;$C$42,+'Ａ戦'!BC51,"")</f>
        <v>5</v>
      </c>
      <c r="G31" s="65">
        <f>IF($C$43&gt;$C$42,+'Ａ戦'!BD51,"")</f>
        <v>6</v>
      </c>
      <c r="H31" s="65">
        <f>IF($C$43&gt;$C$42,MAX('Ａ戦'!AT51:AT57)-'戦績'!G31-1,"")</f>
        <v>0</v>
      </c>
      <c r="N31" s="68" t="s">
        <v>44</v>
      </c>
      <c r="O31" s="68" t="s">
        <v>45</v>
      </c>
      <c r="P31" s="140" t="s">
        <v>72</v>
      </c>
      <c r="Q31" s="140"/>
    </row>
    <row r="32" spans="2:17" ht="14.25">
      <c r="B32" s="64" t="str">
        <f>IF(H32&gt;0,"暫定"&amp;'Ａ戦'!AZ52&amp;"位",IF(SQRT((H32-H33)^2)*2+E33&gt;E32,"暫定"&amp;'Ａ戦'!AZ52&amp;"位","第"&amp;'Ａ戦'!AZ52&amp;"位"))</f>
        <v>第2位</v>
      </c>
      <c r="C32" s="139" t="str">
        <f>IF($C$43&gt;$C$42,+'Ａ戦'!BA52,"")</f>
        <v>矢切コンドルス</v>
      </c>
      <c r="D32" s="139"/>
      <c r="E32" s="64">
        <f>IF($C$43&gt;$C$42,+'Ａ戦'!BB52,"")</f>
        <v>8</v>
      </c>
      <c r="F32" s="64">
        <f>IF($C$43&gt;$C$42,+'Ａ戦'!BC52,"")</f>
        <v>4</v>
      </c>
      <c r="G32" s="64">
        <f>IF($C$43&gt;$C$42,+'Ａ戦'!BD52,"")</f>
        <v>6</v>
      </c>
      <c r="H32" s="64">
        <f>IF($C$43&gt;$C$42,MAX('Ａ戦'!AT51:AT57)-'戦績'!G32-1,"")</f>
        <v>0</v>
      </c>
      <c r="M32" s="69" t="s">
        <v>46</v>
      </c>
      <c r="N32">
        <f>+'Ａ戦'!BI72</f>
        <v>142</v>
      </c>
      <c r="O32" s="71">
        <f>+'Ａ戦'!BK72</f>
        <v>0.922077922077922</v>
      </c>
      <c r="Q32" s="91" t="str">
        <f>"１日"&amp;ROUND(('Ａ戦'!BJ72-'Ａ戦'!BI72)/N42,1)&amp;"試合"</f>
        <v>１日4試合</v>
      </c>
    </row>
    <row r="33" spans="2:17" ht="14.25">
      <c r="B33" s="64" t="str">
        <f>IF(H33&gt;0,"暫定"&amp;'Ａ戦'!AZ53&amp;"位","第"&amp;'Ａ戦'!AZ53&amp;"位")</f>
        <v>第2位</v>
      </c>
      <c r="C33" s="139" t="str">
        <f>IF($C$43&gt;$C$42,+'Ａ戦'!BA53,"")</f>
        <v>沼南フラワーズ</v>
      </c>
      <c r="D33" s="139"/>
      <c r="E33" s="64">
        <f>IF($C$43&gt;$C$42,+'Ａ戦'!BB53,"")</f>
        <v>8</v>
      </c>
      <c r="F33" s="64">
        <f>IF($C$43&gt;$C$42,+'Ａ戦'!BC53,"")</f>
        <v>4</v>
      </c>
      <c r="G33" s="64">
        <f>IF($C$43&gt;$C$42,+'Ａ戦'!BD53,"")</f>
        <v>6</v>
      </c>
      <c r="H33" s="64">
        <f>IF($C$43&gt;$C$42,MAX('Ａ戦'!AT51:AT57)-'戦績'!G33-1,"")</f>
        <v>0</v>
      </c>
      <c r="M33" s="69" t="s">
        <v>47</v>
      </c>
      <c r="N33">
        <f>+'Ｂ戦'!BU61</f>
        <v>133</v>
      </c>
      <c r="O33" s="71">
        <f>+'Ｂ戦'!BW61</f>
        <v>0.869281045751634</v>
      </c>
      <c r="Q33" s="91" t="str">
        <f>"１日"&amp;ROUND(('Ｂ戦'!BV61-'Ｂ戦'!BU61)/N42,1)&amp;"試合"</f>
        <v>１日6.7試合</v>
      </c>
    </row>
    <row r="34" spans="13:17" ht="13.5">
      <c r="M34" s="69" t="s">
        <v>48</v>
      </c>
      <c r="N34">
        <f>+'Ｃ戦'!BU60</f>
        <v>84</v>
      </c>
      <c r="O34" s="71">
        <f>+'Ｃ戦'!BW60</f>
        <v>0.9230769230769231</v>
      </c>
      <c r="Q34" s="91" t="str">
        <f>"１日"&amp;ROUND(('Ｃ戦'!BV60-'Ｃ戦'!BU60)/N42,1)&amp;"試合"</f>
        <v>１日2.3試合</v>
      </c>
    </row>
    <row r="35" spans="2:8" ht="14.25">
      <c r="B35" s="141" t="str">
        <f>"Fブロック             試合消化率  "&amp;ROUND('Ａ戦'!AJ60*100,1)&amp;"％"</f>
        <v>Fブロック             試合消化率  100％</v>
      </c>
      <c r="C35" s="142"/>
      <c r="D35" s="142"/>
      <c r="E35" s="142"/>
      <c r="F35" s="142"/>
      <c r="G35" s="142"/>
      <c r="H35" s="143"/>
    </row>
    <row r="36" spans="2:15" ht="14.25">
      <c r="B36" s="64" t="s">
        <v>32</v>
      </c>
      <c r="C36" s="144" t="s">
        <v>33</v>
      </c>
      <c r="D36" s="144"/>
      <c r="E36" s="66" t="s">
        <v>34</v>
      </c>
      <c r="F36" s="66" t="s">
        <v>35</v>
      </c>
      <c r="G36" s="66" t="s">
        <v>38</v>
      </c>
      <c r="H36" s="66" t="s">
        <v>39</v>
      </c>
      <c r="M36" s="149" t="s">
        <v>49</v>
      </c>
      <c r="N36" s="147"/>
      <c r="O36" s="147"/>
    </row>
    <row r="37" spans="2:15" ht="14.25">
      <c r="B37" s="65" t="str">
        <f>IF(H37&gt;0,"暫定"&amp;'Ａ戦'!AZ62&amp;"位",IF(SQRT((H37-H38)^2)*2+E38&gt;E37,"暫定"&amp;'Ａ戦'!AZ62&amp;"位","第"&amp;'Ａ戦'!AZ62&amp;"位"))</f>
        <v>第1位</v>
      </c>
      <c r="C37" s="145" t="str">
        <f>IF($C$43&gt;$C$42,+'Ａ戦'!BA62,"")</f>
        <v>大橋みどりファイターズ</v>
      </c>
      <c r="D37" s="145"/>
      <c r="E37" s="65">
        <f>IF($C$43&gt;$C$42,+'Ａ戦'!BB62,"")</f>
        <v>12</v>
      </c>
      <c r="F37" s="65">
        <f>IF($C$43&gt;$C$42,+'Ａ戦'!BC62,"")</f>
        <v>6</v>
      </c>
      <c r="G37" s="65">
        <f>IF($C$43&gt;$C$42,+'Ａ戦'!BD62,"")</f>
        <v>6</v>
      </c>
      <c r="H37" s="65">
        <f>IF($C$43&gt;$C$42,MAX('Ａ戦'!AT62:AT68)-'戦績'!G37-1,"")</f>
        <v>0</v>
      </c>
      <c r="N37" s="148">
        <f>(N32+N33+N34)/('Ａ戦'!BJ72+'Ｂ戦'!BV61+'Ｃ戦'!BV60)</f>
        <v>0.9020100502512562</v>
      </c>
      <c r="O37" s="148"/>
    </row>
    <row r="38" spans="2:16" ht="14.25">
      <c r="B38" s="64" t="str">
        <f>IF(H38&gt;0,"暫定"&amp;'Ａ戦'!AZ63&amp;"位",IF(SQRT((H38-H39)^2)*2+E39&gt;E38,"暫定"&amp;'Ａ戦'!AZ63&amp;"位","第"&amp;'Ａ戦'!AZ63&amp;"位"))</f>
        <v>第2位</v>
      </c>
      <c r="C38" s="139" t="str">
        <f>IF($C$43&gt;$C$42,+'Ａ戦'!BA63,"")</f>
        <v>松葉ニューセラミックス</v>
      </c>
      <c r="D38" s="139"/>
      <c r="E38" s="64">
        <f>IF($C$43&gt;$C$42,+'Ａ戦'!BB63,"")</f>
        <v>8</v>
      </c>
      <c r="F38" s="64">
        <f>IF($C$43&gt;$C$42,+'Ａ戦'!BC63,"")</f>
        <v>4</v>
      </c>
      <c r="G38" s="64">
        <f>IF($C$43&gt;$C$42,+'Ａ戦'!BD63,"")</f>
        <v>6</v>
      </c>
      <c r="H38" s="64">
        <f>IF($C$43&gt;$C$42,MAX('Ａ戦'!AT62:AT68)-'戦績'!G38-1,"")</f>
        <v>0</v>
      </c>
      <c r="M38" s="69" t="s">
        <v>50</v>
      </c>
      <c r="N38" s="146">
        <f ca="1">TODAY()</f>
        <v>41268</v>
      </c>
      <c r="O38" s="147"/>
      <c r="P38" t="s">
        <v>51</v>
      </c>
    </row>
    <row r="39" spans="2:8" ht="14.25">
      <c r="B39" s="64" t="str">
        <f>IF(H39&gt;0,"暫定"&amp;'Ａ戦'!AZ64&amp;"位","第"&amp;'Ａ戦'!AZ64&amp;"位")</f>
        <v>第3位</v>
      </c>
      <c r="C39" s="139" t="str">
        <f>IF($C$43&gt;$C$42,+'Ａ戦'!BA64,"")</f>
        <v>八柱サンジュニアーズ</v>
      </c>
      <c r="D39" s="139"/>
      <c r="E39" s="64">
        <f>IF($C$43&gt;$C$42,+'Ａ戦'!BB64,"")</f>
        <v>7</v>
      </c>
      <c r="F39" s="64">
        <f>IF($C$43&gt;$C$42,+'Ａ戦'!BB64,"")</f>
        <v>7</v>
      </c>
      <c r="G39" s="64">
        <f>IF($C$43&gt;$C$42,+'Ａ戦'!BD64,"")</f>
        <v>6</v>
      </c>
      <c r="H39" s="64">
        <f>IF($C$43&gt;$C$42,MAX('Ａ戦'!AT62:AT68)-'戦績'!G39-1,"")</f>
        <v>0</v>
      </c>
    </row>
    <row r="42" spans="3:15" ht="13.5">
      <c r="C42" s="87">
        <f>DATE(2012,6,30)+95</f>
        <v>41185</v>
      </c>
      <c r="M42" t="s">
        <v>70</v>
      </c>
      <c r="N42" s="89">
        <f>+C53</f>
        <v>3</v>
      </c>
      <c r="O42" t="s">
        <v>69</v>
      </c>
    </row>
    <row r="43" ht="13.5">
      <c r="C43" s="88">
        <f>+M1</f>
        <v>41268</v>
      </c>
    </row>
    <row r="47" ht="13.5">
      <c r="C47" s="88">
        <f>+C43</f>
        <v>41268</v>
      </c>
    </row>
    <row r="48" ht="13.5">
      <c r="C48" s="88"/>
    </row>
    <row r="49" ht="13.5">
      <c r="C49" s="87">
        <f>DATE(2012,10,31)</f>
        <v>41213</v>
      </c>
    </row>
    <row r="50" ht="13.5">
      <c r="C50" s="87">
        <f>DATE(2012,11,30)</f>
        <v>41243</v>
      </c>
    </row>
    <row r="51" ht="13.5">
      <c r="C51" s="87">
        <f>DATE(2012,12,31)</f>
        <v>41274</v>
      </c>
    </row>
    <row r="53" spans="3:4" ht="13.5">
      <c r="C53" s="88">
        <f>ROUNDUP((C55-C56)*2/7,0)+E55+E56</f>
        <v>3</v>
      </c>
      <c r="D53" t="s">
        <v>69</v>
      </c>
    </row>
    <row r="54" spans="2:4" ht="13.5">
      <c r="B54" s="69"/>
      <c r="C54" s="88"/>
      <c r="D54" s="88"/>
    </row>
    <row r="55" spans="2:5" ht="13.5">
      <c r="B55" s="69"/>
      <c r="C55" s="87">
        <f>DATE(2012,12,31)</f>
        <v>41274</v>
      </c>
      <c r="D55" s="87">
        <f>DATE(2012,11,30)</f>
        <v>41243</v>
      </c>
      <c r="E55">
        <f>IF(D55&gt;C56,1,0)</f>
        <v>0</v>
      </c>
    </row>
    <row r="56" spans="2:5" ht="13.5">
      <c r="B56" s="69"/>
      <c r="C56" s="87">
        <f>+N38</f>
        <v>41268</v>
      </c>
      <c r="D56" s="87">
        <v>41275</v>
      </c>
      <c r="E56">
        <f>IF(D56&gt;C56,1,0)</f>
        <v>1</v>
      </c>
    </row>
  </sheetData>
  <sheetProtection/>
  <mergeCells count="78">
    <mergeCell ref="C15:D15"/>
    <mergeCell ref="B17:H17"/>
    <mergeCell ref="B3:H3"/>
    <mergeCell ref="C12:D12"/>
    <mergeCell ref="C7:D7"/>
    <mergeCell ref="C8:D8"/>
    <mergeCell ref="C9:D9"/>
    <mergeCell ref="B11:H11"/>
    <mergeCell ref="C6:D6"/>
    <mergeCell ref="B5:H5"/>
    <mergeCell ref="C18:D18"/>
    <mergeCell ref="C19:D19"/>
    <mergeCell ref="B23:H23"/>
    <mergeCell ref="C24:D24"/>
    <mergeCell ref="C20:D20"/>
    <mergeCell ref="C21:D21"/>
    <mergeCell ref="L24:M24"/>
    <mergeCell ref="L25:M25"/>
    <mergeCell ref="C32:D32"/>
    <mergeCell ref="C33:D33"/>
    <mergeCell ref="C30:D30"/>
    <mergeCell ref="C31:D31"/>
    <mergeCell ref="C27:D27"/>
    <mergeCell ref="B29:H29"/>
    <mergeCell ref="C25:D25"/>
    <mergeCell ref="C26:D26"/>
    <mergeCell ref="C39:D39"/>
    <mergeCell ref="K3:Q3"/>
    <mergeCell ref="K5:Q5"/>
    <mergeCell ref="L6:M6"/>
    <mergeCell ref="L7:M7"/>
    <mergeCell ref="L8:M8"/>
    <mergeCell ref="C13:D13"/>
    <mergeCell ref="C14:D14"/>
    <mergeCell ref="B35:H35"/>
    <mergeCell ref="C36:D36"/>
    <mergeCell ref="C37:D37"/>
    <mergeCell ref="C38:D38"/>
    <mergeCell ref="T3:Z3"/>
    <mergeCell ref="T5:Z5"/>
    <mergeCell ref="U6:V6"/>
    <mergeCell ref="U7:V7"/>
    <mergeCell ref="L12:M12"/>
    <mergeCell ref="L13:M13"/>
    <mergeCell ref="L9:M9"/>
    <mergeCell ref="K11:Q11"/>
    <mergeCell ref="U20:V20"/>
    <mergeCell ref="L18:M18"/>
    <mergeCell ref="L14:M14"/>
    <mergeCell ref="L15:M15"/>
    <mergeCell ref="L19:M19"/>
    <mergeCell ref="L20:M20"/>
    <mergeCell ref="K17:Q17"/>
    <mergeCell ref="U14:V14"/>
    <mergeCell ref="U15:V15"/>
    <mergeCell ref="T17:Z17"/>
    <mergeCell ref="U21:V21"/>
    <mergeCell ref="L21:M21"/>
    <mergeCell ref="K23:Q23"/>
    <mergeCell ref="U8:V8"/>
    <mergeCell ref="U9:V9"/>
    <mergeCell ref="U18:V18"/>
    <mergeCell ref="U19:V19"/>
    <mergeCell ref="T11:Z11"/>
    <mergeCell ref="U12:V12"/>
    <mergeCell ref="U13:V13"/>
    <mergeCell ref="N38:O38"/>
    <mergeCell ref="N37:O37"/>
    <mergeCell ref="L26:M26"/>
    <mergeCell ref="L27:M27"/>
    <mergeCell ref="M30:O30"/>
    <mergeCell ref="M36:O36"/>
    <mergeCell ref="U27:V27"/>
    <mergeCell ref="P31:Q31"/>
    <mergeCell ref="T23:Z23"/>
    <mergeCell ref="U24:V24"/>
    <mergeCell ref="U25:V25"/>
    <mergeCell ref="U26:V26"/>
  </mergeCells>
  <conditionalFormatting sqref="B14:B15 B8:B9 E14:H15 B7:H7 B38:B39 E20:H21 B20:B21 E26:H27 E32:H33 B19:H19 B31:B33 B25:H25 E38:G39 K13:Q15 B26:B27 T7:Z9 B37:G37 B13:H13 K19:Q21 T13:Z15 T19:Z21 T25:Z27 K7:Q9 K25:Q27">
    <cfRule type="cellIs" priority="1" dxfId="122" operator="equal" stopIfTrue="1">
      <formula>$H$7=0</formula>
    </cfRule>
  </conditionalFormatting>
  <conditionalFormatting sqref="C31:H31 H37:H39">
    <cfRule type="cellIs" priority="2" dxfId="122" operator="equal" stopIfTrue="1">
      <formula>$H$31=0</formula>
    </cfRule>
  </conditionalFormatting>
  <conditionalFormatting sqref="N42">
    <cfRule type="cellIs" priority="3" dxfId="124" operator="lessThan" stopIfTrue="1">
      <formula>7</formula>
    </cfRule>
  </conditionalFormatting>
  <printOptions/>
  <pageMargins left="0.787" right="0.787" top="0.48" bottom="0.38" header="0.3" footer="0.2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83"/>
  <sheetViews>
    <sheetView zoomScaleSheetLayoutView="100" workbookViewId="0" topLeftCell="A1">
      <selection activeCell="W78" sqref="W78"/>
    </sheetView>
  </sheetViews>
  <sheetFormatPr defaultColWidth="9.00390625" defaultRowHeight="19.5" customHeight="1"/>
  <cols>
    <col min="1" max="1" width="15.125" style="3" customWidth="1"/>
    <col min="2" max="5" width="2.625" style="3" customWidth="1"/>
    <col min="6" max="6" width="2.875" style="3" customWidth="1"/>
    <col min="7" max="33" width="2.625" style="3" customWidth="1"/>
    <col min="34" max="46" width="3.625" style="3" customWidth="1"/>
    <col min="47" max="47" width="12.875" style="3" customWidth="1"/>
    <col min="48" max="48" width="4.625" style="3" customWidth="1"/>
    <col min="49" max="49" width="4.375" style="3" customWidth="1"/>
    <col min="50" max="50" width="4.25390625" style="3" customWidth="1"/>
    <col min="51" max="51" width="4.75390625" style="3" customWidth="1"/>
    <col min="52" max="52" width="5.625" style="3" customWidth="1"/>
    <col min="53" max="53" width="11.375" style="3" customWidth="1"/>
    <col min="54" max="54" width="5.625" style="3" customWidth="1"/>
    <col min="55" max="55" width="4.25390625" style="3" customWidth="1"/>
    <col min="56" max="56" width="4.875" style="3" customWidth="1"/>
    <col min="57" max="57" width="3.00390625" style="3" customWidth="1"/>
    <col min="58" max="59" width="4.875" style="3" customWidth="1"/>
    <col min="60" max="60" width="11.875" style="3" customWidth="1"/>
    <col min="61" max="61" width="3.75390625" style="3" customWidth="1"/>
    <col min="62" max="62" width="3.00390625" style="3" customWidth="1"/>
    <col min="63" max="63" width="4.50390625" style="3" customWidth="1"/>
    <col min="64" max="64" width="15.00390625" style="3" customWidth="1"/>
    <col min="65" max="65" width="6.00390625" style="3" customWidth="1"/>
    <col min="66" max="66" width="4.375" style="3" customWidth="1"/>
    <col min="67" max="67" width="4.75390625" style="3" customWidth="1"/>
    <col min="68" max="68" width="17.125" style="3" customWidth="1"/>
    <col min="69" max="16384" width="9.00390625" style="3" customWidth="1"/>
  </cols>
  <sheetData>
    <row r="1" spans="1:47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9.5" customHeight="1">
      <c r="A2" s="4" t="s">
        <v>52</v>
      </c>
      <c r="B2" s="90" t="s">
        <v>71</v>
      </c>
      <c r="C2" s="58"/>
      <c r="D2" s="58"/>
      <c r="E2" s="58"/>
      <c r="F2" s="58"/>
      <c r="G2" s="158" t="str">
        <f>"１日"&amp;ROUND((BJ12-BI12)/'戦績'!N42,1)&amp;"試合"</f>
        <v>１日1.7試合</v>
      </c>
      <c r="H2" s="158"/>
      <c r="I2" s="158"/>
      <c r="J2" s="158"/>
      <c r="K2" s="153" t="s">
        <v>27</v>
      </c>
      <c r="L2" s="153"/>
      <c r="M2" s="153"/>
      <c r="N2" s="153"/>
      <c r="O2" s="154" t="str">
        <f>IF(C83&gt;C82,+BA4,"")</f>
        <v>野菊野ファイターズ</v>
      </c>
      <c r="P2" s="154"/>
      <c r="Q2" s="154"/>
      <c r="R2" s="154"/>
      <c r="S2" s="154"/>
      <c r="T2" s="59"/>
      <c r="U2" s="153" t="s">
        <v>28</v>
      </c>
      <c r="V2" s="153"/>
      <c r="W2" s="153"/>
      <c r="X2" s="153"/>
      <c r="Y2" s="154" t="str">
        <f>IF(C83&gt;C82,BA5,"")</f>
        <v>にしくぼフェニックス</v>
      </c>
      <c r="Z2" s="154"/>
      <c r="AA2" s="154"/>
      <c r="AB2" s="154"/>
      <c r="AC2" s="154"/>
      <c r="AD2" s="154"/>
      <c r="AE2" s="1"/>
      <c r="AF2" s="61" t="s">
        <v>30</v>
      </c>
      <c r="AG2" s="1"/>
      <c r="AH2" s="1"/>
      <c r="AI2" s="1"/>
      <c r="AJ2" s="151">
        <f>+BI12/(MAX(AT4:AT11)*(MAX(AT4:AT11)-1)/2)</f>
        <v>0.8214285714285714</v>
      </c>
      <c r="AK2" s="151"/>
      <c r="AL2" s="67">
        <f>IF(AL1=AM1,"","計算間違い")</f>
      </c>
      <c r="AM2" s="1"/>
      <c r="AN2" s="1"/>
      <c r="AO2" s="1"/>
      <c r="AP2" s="67">
        <f>IF(AN1/2=TRUNC(AN1/2,0),"","計算間違い")</f>
      </c>
      <c r="AQ2" s="1"/>
      <c r="AR2" s="1"/>
      <c r="AS2" s="1"/>
      <c r="AT2" s="1"/>
      <c r="AU2" s="1"/>
    </row>
    <row r="3" spans="1:61" ht="19.5" customHeight="1">
      <c r="A3" s="5"/>
      <c r="B3" s="152" t="str">
        <f>+A4</f>
        <v>にしくぼフェニックス</v>
      </c>
      <c r="C3" s="152"/>
      <c r="D3" s="152"/>
      <c r="E3" s="152"/>
      <c r="F3" s="152" t="str">
        <f>+A5</f>
        <v>野菊野ファイターズ</v>
      </c>
      <c r="G3" s="152"/>
      <c r="H3" s="152"/>
      <c r="I3" s="152"/>
      <c r="J3" s="152" t="str">
        <f>+A6</f>
        <v>松戸中央エンジェルス</v>
      </c>
      <c r="K3" s="152"/>
      <c r="L3" s="152"/>
      <c r="M3" s="152"/>
      <c r="N3" s="152" t="str">
        <f>+A7</f>
        <v>長崎ＦＬＢ</v>
      </c>
      <c r="O3" s="152"/>
      <c r="P3" s="152"/>
      <c r="Q3" s="152"/>
      <c r="R3" s="152" t="str">
        <f>+A8</f>
        <v>木刈ファイターズ</v>
      </c>
      <c r="S3" s="152"/>
      <c r="T3" s="152"/>
      <c r="U3" s="152"/>
      <c r="V3" s="152" t="str">
        <f>+A9</f>
        <v>柏ドリームス</v>
      </c>
      <c r="W3" s="152"/>
      <c r="X3" s="152"/>
      <c r="Y3" s="152"/>
      <c r="Z3" s="152" t="str">
        <f>+A10</f>
        <v>光ヶ丘シャークス</v>
      </c>
      <c r="AA3" s="152"/>
      <c r="AB3" s="152"/>
      <c r="AC3" s="152"/>
      <c r="AD3" s="152" t="str">
        <f>+A11</f>
        <v>我孫子ライオンズ</v>
      </c>
      <c r="AE3" s="152"/>
      <c r="AF3" s="152"/>
      <c r="AG3" s="152"/>
      <c r="AH3" s="32" t="s">
        <v>7</v>
      </c>
      <c r="AI3" s="32" t="s">
        <v>8</v>
      </c>
      <c r="AJ3" s="32" t="s">
        <v>9</v>
      </c>
      <c r="AK3" s="33" t="s">
        <v>14</v>
      </c>
      <c r="AL3" s="34" t="s">
        <v>15</v>
      </c>
      <c r="AM3" s="35" t="s">
        <v>16</v>
      </c>
      <c r="AN3" s="36" t="s">
        <v>10</v>
      </c>
      <c r="AO3" s="32" t="s">
        <v>11</v>
      </c>
      <c r="AP3" s="32" t="s">
        <v>12</v>
      </c>
      <c r="AQ3" s="32" t="s">
        <v>13</v>
      </c>
      <c r="AR3" s="1"/>
      <c r="AS3" s="1"/>
      <c r="AU3" s="3" t="s">
        <v>21</v>
      </c>
      <c r="AV3" s="3" t="s">
        <v>22</v>
      </c>
      <c r="BH3" s="3" t="s">
        <v>21</v>
      </c>
      <c r="BI3" s="3" t="s">
        <v>23</v>
      </c>
    </row>
    <row r="4" spans="1:64" ht="19.5" customHeight="1">
      <c r="A4" s="107" t="s">
        <v>79</v>
      </c>
      <c r="B4" s="43"/>
      <c r="C4" s="44"/>
      <c r="D4" s="44"/>
      <c r="E4" s="45"/>
      <c r="F4" s="43"/>
      <c r="G4" s="44">
        <f>IF(E5="","",E5)</f>
        <v>2</v>
      </c>
      <c r="H4" s="44"/>
      <c r="I4" s="45">
        <f>IF(C5="","",C5)</f>
        <v>3</v>
      </c>
      <c r="J4" s="43"/>
      <c r="K4" s="44">
        <f>IF(E6="","",E6)</f>
        <v>5</v>
      </c>
      <c r="L4" s="44"/>
      <c r="M4" s="45">
        <f>IF(C6="","",C6)</f>
        <v>1</v>
      </c>
      <c r="N4" s="43"/>
      <c r="O4" s="44">
        <f>IF(E7="","",E7)</f>
        <v>2</v>
      </c>
      <c r="P4" s="44"/>
      <c r="Q4" s="45">
        <f>IF(C7="","",C7)</f>
        <v>4</v>
      </c>
      <c r="R4" s="43"/>
      <c r="S4" s="44">
        <f>IF(E8="","",E8)</f>
        <v>6</v>
      </c>
      <c r="T4" s="44"/>
      <c r="U4" s="45">
        <f>IF(C8="","",C8)</f>
        <v>4</v>
      </c>
      <c r="V4" s="43"/>
      <c r="W4" s="44">
        <f>IF(E9="","",E9)</f>
        <v>2</v>
      </c>
      <c r="X4" s="44"/>
      <c r="Y4" s="45">
        <f>IF(C9="","",C9)</f>
        <v>1</v>
      </c>
      <c r="Z4" s="43"/>
      <c r="AA4" s="44">
        <f>IF(E10="","",E10)</f>
        <v>3</v>
      </c>
      <c r="AB4" s="44"/>
      <c r="AC4" s="45">
        <f>IF(C10="","",C10)</f>
        <v>4</v>
      </c>
      <c r="AD4" s="43"/>
      <c r="AE4" s="44">
        <f>IF(E11="","",E11)</f>
        <v>4</v>
      </c>
      <c r="AF4" s="44"/>
      <c r="AG4" s="45">
        <f>IF(C11="","",C11)</f>
        <v>3</v>
      </c>
      <c r="AH4" s="37">
        <f>IF(C4&gt;E4,1,0)+IF(G4&gt;I4,1,0)+IF(K4&gt;M4,1,0)+IF(O4&gt;Q4,1,0)+IF(S4&gt;U4,1,0)+IF(W4&gt;Y4,1,0)+IF(AA4&gt;AC4,1,0)+IF(AE4&gt;AG4,1,0)</f>
        <v>4</v>
      </c>
      <c r="AI4" s="37">
        <f>IF(C4&lt;E4,1,0)+IF(G4&lt;I4,1,0)+IF(K4&lt;M4,1,0)+IF(O4&lt;Q4,1,0)+IF(S4&lt;U4,1,0)+IF(W4&lt;Y4,1,0)+IF(AA4&lt;AC4,1,0)+IF(AE4&lt;AG4,1,0)</f>
        <v>3</v>
      </c>
      <c r="AJ4" s="37">
        <f>IF(AND(ISNUMBER(C4),C4=E4),1,0)+IF(AND(ISNUMBER(G4),G4=I4),1,0)+IF(AND(ISNUMBER(K4),K4=M4),1,)+IF(AND(ISNUMBER(O4),O4=Q4),1,0)+IF(AND(ISNUMBER(S4),S4=U4),1,0)+IF(AND(ISNUMBER(W4),W4=Y4),1,0)+IF(AND(ISNUMBER(AA4),AA4=AC4),1,0)+IF(AND(ISNUMBER(AE4),AE4=AG4),1,0)</f>
        <v>0</v>
      </c>
      <c r="AK4" s="38">
        <f>AH4*2</f>
        <v>8</v>
      </c>
      <c r="AL4" s="39">
        <f>AI4*0</f>
        <v>0</v>
      </c>
      <c r="AM4" s="40">
        <f>AJ4*1</f>
        <v>0</v>
      </c>
      <c r="AN4" s="41">
        <f>AK4+AL4+AM4</f>
        <v>8</v>
      </c>
      <c r="AO4" s="37">
        <f>IF(ISNUMBER(G4),G4,0)+IF(ISNUMBER(K4),K4,0)+IF(ISNUMBER(O4),O4,0)+IF(ISNUMBER(AA4),AA4,0)+IF(ISNUMBER(AE4),AE4,0)+IF(ISNUMBER(S4),S4,0)+IF(ISNUMBER(W4),W4,0)+IF(ISNUMBER(C4),C4,0)</f>
        <v>24</v>
      </c>
      <c r="AP4" s="37">
        <f>IF(ISNUMBER(I4),I4,0)+IF(ISNUMBER(M4),M4,0)+IF(ISNUMBER(Q4),Q4,0)+IF(ISNUMBER(AC4),AC4,0)+IF(ISNUMBER(AG4),AG4,0)+IF(ISNUMBER(U4),U4,0)+IF(ISNUMBER(Y4),Y4,0)+IF(ISNUMBER(E4),E4,0)</f>
        <v>20</v>
      </c>
      <c r="AQ4" s="37">
        <f>AO4-AP4</f>
        <v>4</v>
      </c>
      <c r="AR4" s="1"/>
      <c r="AS4" s="1"/>
      <c r="AT4" s="49">
        <f>AY4+COUNTIF(AY3:AY$3,AY4)</f>
        <v>2</v>
      </c>
      <c r="AU4" s="51" t="str">
        <f>+A4</f>
        <v>にしくぼフェニックス</v>
      </c>
      <c r="AV4" s="49">
        <f aca="true" t="shared" si="0" ref="AV4:AV11">+AN4</f>
        <v>8</v>
      </c>
      <c r="AW4" s="49">
        <f>+AH4</f>
        <v>4</v>
      </c>
      <c r="AX4" s="49">
        <f>+AH4+AI4+AJ4</f>
        <v>7</v>
      </c>
      <c r="AY4" s="49">
        <f>RANK(AV4,AV$4:AV$11)</f>
        <v>2</v>
      </c>
      <c r="AZ4" s="50">
        <f>VLOOKUP(ROW(AX1),$AT$16:$AZ$23,6,FALSE)</f>
        <v>1</v>
      </c>
      <c r="BA4" s="52" t="str">
        <f>VLOOKUP(ROW(AX1),$AT$4:$AY$11,2,FALSE)</f>
        <v>野菊野ファイターズ</v>
      </c>
      <c r="BB4" s="52">
        <f>VLOOKUP(ROW(AX1),$AT$4:$AY$11,3,FALSE)</f>
        <v>10</v>
      </c>
      <c r="BC4" s="52">
        <f>VLOOKUP(ROW(AX1),$AT$4:$AY$11,4,FALSE)</f>
        <v>5</v>
      </c>
      <c r="BD4" s="52">
        <f>VLOOKUP(ROW(AX1),$AT$4:$AY$11,5,FALSE)</f>
        <v>5</v>
      </c>
      <c r="BE4" s="62"/>
      <c r="BG4" s="49">
        <f>BJ4+COUNTIF(BJ3:BJ$3,BJ4)</f>
        <v>1</v>
      </c>
      <c r="BH4" s="51" t="str">
        <f>+AU4</f>
        <v>にしくぼフェニックス</v>
      </c>
      <c r="BI4" s="49">
        <f>COUNT(B4:AG4)/2</f>
        <v>7</v>
      </c>
      <c r="BJ4" s="49">
        <f>RANK(BI4,BI$4:BI$11)</f>
        <v>1</v>
      </c>
      <c r="BK4" s="50">
        <f>VLOOKUP(ROW(AX1),$BG$4:$BJ$11,4,FALSE)</f>
        <v>1</v>
      </c>
      <c r="BL4" s="52" t="str">
        <f>VLOOKUP(ROW(AX1),$BG$4:$BJ$11,2,FALSE)</f>
        <v>にしくぼフェニックス</v>
      </c>
    </row>
    <row r="5" spans="1:64" ht="19.5" customHeight="1">
      <c r="A5" s="107" t="s">
        <v>80</v>
      </c>
      <c r="B5" s="43"/>
      <c r="C5" s="44">
        <v>3</v>
      </c>
      <c r="D5" s="44"/>
      <c r="E5" s="45">
        <v>2</v>
      </c>
      <c r="F5" s="43"/>
      <c r="G5" s="44"/>
      <c r="H5" s="44"/>
      <c r="I5" s="45"/>
      <c r="J5" s="43"/>
      <c r="K5" s="44">
        <f>IF(I6="","",I6)</f>
        <v>7</v>
      </c>
      <c r="L5" s="44"/>
      <c r="M5" s="45">
        <f>IF(G6="","",G6)</f>
        <v>1</v>
      </c>
      <c r="N5" s="43"/>
      <c r="O5" s="44">
        <f>IF(I7="","",I7)</f>
        <v>7</v>
      </c>
      <c r="P5" s="44"/>
      <c r="Q5" s="45">
        <f>IF(G7="","",G7)</f>
        <v>0</v>
      </c>
      <c r="R5" s="43"/>
      <c r="S5" s="44">
        <f>IF(I8="","",I8)</f>
        <v>7</v>
      </c>
      <c r="T5" s="44"/>
      <c r="U5" s="45">
        <f>IF(G8="","",G8)</f>
        <v>3</v>
      </c>
      <c r="V5" s="43"/>
      <c r="W5" s="44">
        <f>IF(I9="","",I9)</f>
      </c>
      <c r="X5" s="44"/>
      <c r="Y5" s="45">
        <f>IF(G9="","",G9)</f>
      </c>
      <c r="Z5" s="43"/>
      <c r="AA5" s="44">
        <f>IF(I10="","",I10)</f>
        <v>7</v>
      </c>
      <c r="AB5" s="44"/>
      <c r="AC5" s="45">
        <f>IF(G10="","",G10)</f>
        <v>0</v>
      </c>
      <c r="AD5" s="43"/>
      <c r="AE5" s="44">
        <f>IF(I11="","",I11)</f>
      </c>
      <c r="AF5" s="44"/>
      <c r="AG5" s="45">
        <f>IF(G11="","",G11)</f>
      </c>
      <c r="AH5" s="37">
        <f aca="true" t="shared" si="1" ref="AH5:AH11">IF(C5&gt;E5,1,0)+IF(G5&gt;I5,1,0)+IF(K5&gt;M5,1,0)+IF(O5&gt;Q5,1,0)+IF(S5&gt;U5,1,0)+IF(W5&gt;Y5,1,0)+IF(AA5&gt;AC5,1,0)+IF(AE5&gt;AG5,1,0)</f>
        <v>5</v>
      </c>
      <c r="AI5" s="37">
        <f aca="true" t="shared" si="2" ref="AI5:AI11">IF(C5&lt;E5,1,0)+IF(G5&lt;I5,1,0)+IF(K5&lt;M5,1,0)+IF(O5&lt;Q5,1,0)+IF(S5&lt;U5,1,0)+IF(W5&lt;Y5,1,0)+IF(AA5&lt;AC5,1,0)+IF(AE5&lt;AG5,1,0)</f>
        <v>0</v>
      </c>
      <c r="AJ5" s="37">
        <f aca="true" t="shared" si="3" ref="AJ5:AJ11">IF(AND(ISNUMBER(C5),C5=E5),1,0)+IF(AND(ISNUMBER(G5),G5=I5),1,0)+IF(AND(ISNUMBER(K5),K5=M5),1,)+IF(AND(ISNUMBER(O5),O5=Q5),1,0)+IF(AND(ISNUMBER(S5),S5=U5),1,0)+IF(AND(ISNUMBER(W5),W5=Y5),1,0)+IF(AND(ISNUMBER(AA5),AA5=AC5),1,0)+IF(AND(ISNUMBER(AE5),AE5=AG5),1,0)</f>
        <v>0</v>
      </c>
      <c r="AK5" s="38">
        <f aca="true" t="shared" si="4" ref="AK5:AK11">AH5*2</f>
        <v>10</v>
      </c>
      <c r="AL5" s="39">
        <f aca="true" t="shared" si="5" ref="AL5:AL11">AI5*0</f>
        <v>0</v>
      </c>
      <c r="AM5" s="40">
        <f aca="true" t="shared" si="6" ref="AM5:AM11">AJ5*1</f>
        <v>0</v>
      </c>
      <c r="AN5" s="41">
        <f aca="true" t="shared" si="7" ref="AN5:AN11">AK5+AL5+AM5</f>
        <v>10</v>
      </c>
      <c r="AO5" s="37">
        <f aca="true" t="shared" si="8" ref="AO5:AO11">IF(ISNUMBER(G5),G5,0)+IF(ISNUMBER(K5),K5,0)+IF(ISNUMBER(O5),O5,0)+IF(ISNUMBER(AA5),AA5,0)+IF(ISNUMBER(AE5),AE5,0)+IF(ISNUMBER(S5),S5,0)+IF(ISNUMBER(W5),W5,0)+IF(ISNUMBER(C5),C5,0)</f>
        <v>31</v>
      </c>
      <c r="AP5" s="37">
        <f aca="true" t="shared" si="9" ref="AP5:AP11">IF(ISNUMBER(I5),I5,0)+IF(ISNUMBER(M5),M5,0)+IF(ISNUMBER(Q5),Q5,0)+IF(ISNUMBER(AC5),AC5,0)+IF(ISNUMBER(AG5),AG5,0)+IF(ISNUMBER(U5),U5,0)+IF(ISNUMBER(Y5),Y5,0)+IF(ISNUMBER(E5),E5,0)</f>
        <v>6</v>
      </c>
      <c r="AQ5" s="32">
        <f aca="true" t="shared" si="10" ref="AQ5:AQ10">AO5-AP5</f>
        <v>25</v>
      </c>
      <c r="AR5" s="1"/>
      <c r="AS5" s="1"/>
      <c r="AT5" s="49">
        <f>AY5+COUNTIF(AY$3:AY4,AY5)</f>
        <v>1</v>
      </c>
      <c r="AU5" s="51" t="str">
        <f aca="true" t="shared" si="11" ref="AU5:AU11">+A5</f>
        <v>野菊野ファイターズ</v>
      </c>
      <c r="AV5" s="49">
        <f t="shared" si="0"/>
        <v>10</v>
      </c>
      <c r="AW5" s="49">
        <f aca="true" t="shared" si="12" ref="AW5:AW11">+AH5</f>
        <v>5</v>
      </c>
      <c r="AX5" s="49">
        <f aca="true" t="shared" si="13" ref="AX5:AX11">+AH5+AI5+AJ5</f>
        <v>5</v>
      </c>
      <c r="AY5" s="49">
        <f aca="true" t="shared" si="14" ref="AY5:AY11">RANK(AV5,AV$4:AV$11)</f>
        <v>1</v>
      </c>
      <c r="AZ5" s="50">
        <f>VLOOKUP(ROW(AX2),$AT$16:$AZ$23,6,FALSE)</f>
        <v>2</v>
      </c>
      <c r="BA5" s="52" t="str">
        <f>VLOOKUP(ROW(AX2),$AT$4:$AY$11,2,FALSE)</f>
        <v>にしくぼフェニックス</v>
      </c>
      <c r="BB5" s="52">
        <f>VLOOKUP(ROW(AX2),$AT$4:$AY$11,3,FALSE)</f>
        <v>8</v>
      </c>
      <c r="BC5" s="52">
        <f>VLOOKUP(ROW(AX2),$AT$4:$AY$11,4,FALSE)</f>
        <v>4</v>
      </c>
      <c r="BD5" s="52">
        <f>VLOOKUP(ROW(AX2),$AT$4:$AY$11,5,FALSE)</f>
        <v>7</v>
      </c>
      <c r="BE5" s="62"/>
      <c r="BG5" s="49">
        <f>BJ5+COUNTIF(BJ$3:BJ4,BJ5)</f>
        <v>6</v>
      </c>
      <c r="BH5" s="51" t="str">
        <f aca="true" t="shared" si="15" ref="BH5:BH11">+AU5</f>
        <v>野菊野ファイターズ</v>
      </c>
      <c r="BI5" s="49">
        <f aca="true" t="shared" si="16" ref="BI5:BI11">COUNT(B5:AG5)/2</f>
        <v>5</v>
      </c>
      <c r="BJ5" s="49">
        <f aca="true" t="shared" si="17" ref="BJ5:BJ11">RANK(BI5,BI$4:BI$11)</f>
        <v>6</v>
      </c>
      <c r="BK5" s="50">
        <f>VLOOKUP(ROW(AX2),$BG$4:$BJ$11,4,FALSE)</f>
        <v>1</v>
      </c>
      <c r="BL5" s="52" t="str">
        <f>VLOOKUP(ROW(AX2),$BG$4:$BJ$11,2,FALSE)</f>
        <v>木刈ファイターズ</v>
      </c>
    </row>
    <row r="6" spans="1:64" ht="19.5" customHeight="1">
      <c r="A6" s="107" t="s">
        <v>81</v>
      </c>
      <c r="B6" s="43"/>
      <c r="C6" s="44">
        <v>1</v>
      </c>
      <c r="D6" s="44"/>
      <c r="E6" s="45">
        <v>5</v>
      </c>
      <c r="F6" s="43"/>
      <c r="G6" s="44">
        <v>1</v>
      </c>
      <c r="H6" s="44"/>
      <c r="I6" s="45">
        <v>7</v>
      </c>
      <c r="J6" s="43"/>
      <c r="K6" s="44"/>
      <c r="L6" s="44"/>
      <c r="M6" s="45"/>
      <c r="N6" s="43"/>
      <c r="O6" s="44">
        <f>IF(M7="","",M7)</f>
      </c>
      <c r="P6" s="44"/>
      <c r="Q6" s="45">
        <f>IF(K7="","",K7)</f>
      </c>
      <c r="R6" s="43"/>
      <c r="S6" s="44">
        <f>IF(M8="","",M8)</f>
        <v>0</v>
      </c>
      <c r="T6" s="44"/>
      <c r="U6" s="45">
        <f>IF(K8="","",K8)</f>
        <v>4</v>
      </c>
      <c r="V6" s="43"/>
      <c r="W6" s="44">
        <f>IF(M9="","",M9)</f>
        <v>1</v>
      </c>
      <c r="X6" s="44"/>
      <c r="Y6" s="45">
        <f>IF(K9="","",K9)</f>
        <v>1</v>
      </c>
      <c r="Z6" s="43"/>
      <c r="AA6" s="44">
        <f>IF(M10="","",M10)</f>
        <v>3</v>
      </c>
      <c r="AB6" s="44"/>
      <c r="AC6" s="45">
        <f>IF(K10="","",K10)</f>
        <v>1</v>
      </c>
      <c r="AD6" s="43"/>
      <c r="AE6" s="44">
        <f>IF(M11="","",M11)</f>
        <v>1</v>
      </c>
      <c r="AF6" s="44"/>
      <c r="AG6" s="45">
        <f>IF(K11="","",K11)</f>
        <v>7</v>
      </c>
      <c r="AH6" s="37">
        <f t="shared" si="1"/>
        <v>1</v>
      </c>
      <c r="AI6" s="37">
        <f t="shared" si="2"/>
        <v>4</v>
      </c>
      <c r="AJ6" s="37">
        <f t="shared" si="3"/>
        <v>1</v>
      </c>
      <c r="AK6" s="38">
        <f t="shared" si="4"/>
        <v>2</v>
      </c>
      <c r="AL6" s="39">
        <f t="shared" si="5"/>
        <v>0</v>
      </c>
      <c r="AM6" s="40">
        <f t="shared" si="6"/>
        <v>1</v>
      </c>
      <c r="AN6" s="41">
        <f t="shared" si="7"/>
        <v>3</v>
      </c>
      <c r="AO6" s="37">
        <f t="shared" si="8"/>
        <v>7</v>
      </c>
      <c r="AP6" s="37">
        <f t="shared" si="9"/>
        <v>25</v>
      </c>
      <c r="AQ6" s="42">
        <f t="shared" si="10"/>
        <v>-18</v>
      </c>
      <c r="AR6" s="1"/>
      <c r="AS6" s="1"/>
      <c r="AT6" s="49">
        <f>AY6+COUNTIF(AY$3:AY5,AY6)</f>
        <v>6</v>
      </c>
      <c r="AU6" s="51" t="str">
        <f t="shared" si="11"/>
        <v>松戸中央エンジェルス</v>
      </c>
      <c r="AV6" s="49">
        <f t="shared" si="0"/>
        <v>3</v>
      </c>
      <c r="AW6" s="49">
        <f t="shared" si="12"/>
        <v>1</v>
      </c>
      <c r="AX6" s="49">
        <f t="shared" si="13"/>
        <v>6</v>
      </c>
      <c r="AY6" s="49">
        <f t="shared" si="14"/>
        <v>6</v>
      </c>
      <c r="AZ6" s="50">
        <f aca="true" t="shared" si="18" ref="AZ6:AZ11">VLOOKUP(ROW(AT3),$AT$16:$AZ$23,6,FALSE)</f>
        <v>3</v>
      </c>
      <c r="BA6" s="52" t="str">
        <f aca="true" t="shared" si="19" ref="BA6:BA11">VLOOKUP(ROW(AT3),$AT$4:$AY$11,2,FALSE)</f>
        <v>木刈ファイターズ</v>
      </c>
      <c r="BB6" s="52">
        <f aca="true" t="shared" si="20" ref="BB6:BB11">VLOOKUP(ROW(AT3),$AT$4:$AY$11,3,FALSE)</f>
        <v>8</v>
      </c>
      <c r="BC6" s="52">
        <f aca="true" t="shared" si="21" ref="BC6:BC11">VLOOKUP(ROW(AT3),$AT$4:$AY$11,4,FALSE)</f>
        <v>4</v>
      </c>
      <c r="BD6" s="52">
        <f aca="true" t="shared" si="22" ref="BD6:BD11">VLOOKUP(ROW(AT3),$AT$4:$AY$11,5,FALSE)</f>
        <v>7</v>
      </c>
      <c r="BE6" s="62"/>
      <c r="BG6" s="49">
        <f>BJ6+COUNTIF(BJ$3:BJ5,BJ6)</f>
        <v>3</v>
      </c>
      <c r="BH6" s="51" t="str">
        <f t="shared" si="15"/>
        <v>松戸中央エンジェルス</v>
      </c>
      <c r="BI6" s="49">
        <f t="shared" si="16"/>
        <v>6</v>
      </c>
      <c r="BJ6" s="49">
        <f t="shared" si="17"/>
        <v>3</v>
      </c>
      <c r="BK6" s="50">
        <f aca="true" t="shared" si="23" ref="BK6:BK11">VLOOKUP(ROW(AT3),$BG$4:$BJ$11,4,FALSE)</f>
        <v>3</v>
      </c>
      <c r="BL6" s="52" t="str">
        <f aca="true" t="shared" si="24" ref="BL6:BL11">VLOOKUP(ROW(AT3),$BG$4:$BJ$11,2,FALSE)</f>
        <v>松戸中央エンジェルス</v>
      </c>
    </row>
    <row r="7" spans="1:64" ht="19.5" customHeight="1">
      <c r="A7" s="107" t="s">
        <v>82</v>
      </c>
      <c r="B7" s="43"/>
      <c r="C7" s="44">
        <v>4</v>
      </c>
      <c r="D7" s="44"/>
      <c r="E7" s="45">
        <v>2</v>
      </c>
      <c r="F7" s="43"/>
      <c r="G7" s="44">
        <v>0</v>
      </c>
      <c r="H7" s="44"/>
      <c r="I7" s="45">
        <v>7</v>
      </c>
      <c r="J7" s="43"/>
      <c r="K7" s="44"/>
      <c r="L7" s="44"/>
      <c r="M7" s="45"/>
      <c r="N7" s="43"/>
      <c r="O7" s="44"/>
      <c r="P7" s="44"/>
      <c r="Q7" s="45"/>
      <c r="R7" s="43"/>
      <c r="S7" s="44">
        <f>IF(Q8="","",Q8)</f>
        <v>8</v>
      </c>
      <c r="T7" s="44"/>
      <c r="U7" s="45">
        <f>IF(O8="","",O8)</f>
        <v>16</v>
      </c>
      <c r="V7" s="43"/>
      <c r="W7" s="44">
        <f>IF(Q9="","",Q9)</f>
      </c>
      <c r="X7" s="44"/>
      <c r="Y7" s="45">
        <f>IF(O9="","",O9)</f>
      </c>
      <c r="Z7" s="43"/>
      <c r="AA7" s="44">
        <f>IF(Q10="","",Q10)</f>
        <v>7</v>
      </c>
      <c r="AB7" s="44"/>
      <c r="AC7" s="45">
        <f>IF(O10="","",O10)</f>
        <v>6</v>
      </c>
      <c r="AD7" s="43"/>
      <c r="AE7" s="44">
        <f>IF(Q11="","",Q11)</f>
        <v>1</v>
      </c>
      <c r="AF7" s="44"/>
      <c r="AG7" s="45">
        <f>IF(O11="","",O11)</f>
        <v>0</v>
      </c>
      <c r="AH7" s="37">
        <f t="shared" si="1"/>
        <v>3</v>
      </c>
      <c r="AI7" s="37">
        <f t="shared" si="2"/>
        <v>2</v>
      </c>
      <c r="AJ7" s="37">
        <f t="shared" si="3"/>
        <v>0</v>
      </c>
      <c r="AK7" s="38">
        <f t="shared" si="4"/>
        <v>6</v>
      </c>
      <c r="AL7" s="39">
        <f t="shared" si="5"/>
        <v>0</v>
      </c>
      <c r="AM7" s="40">
        <f t="shared" si="6"/>
        <v>0</v>
      </c>
      <c r="AN7" s="41">
        <f t="shared" si="7"/>
        <v>6</v>
      </c>
      <c r="AO7" s="37">
        <f t="shared" si="8"/>
        <v>20</v>
      </c>
      <c r="AP7" s="37">
        <f t="shared" si="9"/>
        <v>31</v>
      </c>
      <c r="AQ7" s="32">
        <f t="shared" si="10"/>
        <v>-11</v>
      </c>
      <c r="AR7" s="1"/>
      <c r="AS7" s="1"/>
      <c r="AT7" s="49">
        <f>AY7+COUNTIF(AY$3:AY6,AY7)</f>
        <v>5</v>
      </c>
      <c r="AU7" s="51" t="str">
        <f t="shared" si="11"/>
        <v>長崎ＦＬＢ</v>
      </c>
      <c r="AV7" s="49">
        <f t="shared" si="0"/>
        <v>6</v>
      </c>
      <c r="AW7" s="49">
        <f t="shared" si="12"/>
        <v>3</v>
      </c>
      <c r="AX7" s="49">
        <f t="shared" si="13"/>
        <v>5</v>
      </c>
      <c r="AY7" s="49">
        <f t="shared" si="14"/>
        <v>5</v>
      </c>
      <c r="AZ7" s="50">
        <f t="shared" si="18"/>
        <v>4</v>
      </c>
      <c r="BA7" s="52" t="str">
        <f t="shared" si="19"/>
        <v>我孫子ライオンズ</v>
      </c>
      <c r="BB7" s="52">
        <f t="shared" si="20"/>
        <v>8</v>
      </c>
      <c r="BC7" s="52">
        <f t="shared" si="21"/>
        <v>4</v>
      </c>
      <c r="BD7" s="52">
        <f t="shared" si="22"/>
        <v>6</v>
      </c>
      <c r="BE7" s="62"/>
      <c r="BG7" s="49">
        <f>BJ7+COUNTIF(BJ$3:BJ6,BJ7)</f>
        <v>7</v>
      </c>
      <c r="BH7" s="51" t="str">
        <f t="shared" si="15"/>
        <v>長崎ＦＬＢ</v>
      </c>
      <c r="BI7" s="49">
        <f t="shared" si="16"/>
        <v>5</v>
      </c>
      <c r="BJ7" s="49">
        <f t="shared" si="17"/>
        <v>6</v>
      </c>
      <c r="BK7" s="50">
        <f t="shared" si="23"/>
        <v>3</v>
      </c>
      <c r="BL7" s="52" t="str">
        <f t="shared" si="24"/>
        <v>光ヶ丘シャークス</v>
      </c>
    </row>
    <row r="8" spans="1:64" ht="19.5" customHeight="1">
      <c r="A8" s="107" t="s">
        <v>83</v>
      </c>
      <c r="B8" s="43"/>
      <c r="C8" s="44">
        <v>4</v>
      </c>
      <c r="D8" s="44"/>
      <c r="E8" s="45">
        <v>6</v>
      </c>
      <c r="F8" s="43"/>
      <c r="G8" s="44">
        <v>3</v>
      </c>
      <c r="H8" s="44"/>
      <c r="I8" s="45">
        <v>7</v>
      </c>
      <c r="J8" s="43"/>
      <c r="K8" s="44">
        <v>4</v>
      </c>
      <c r="L8" s="44"/>
      <c r="M8" s="45">
        <v>0</v>
      </c>
      <c r="N8" s="43"/>
      <c r="O8" s="44">
        <v>16</v>
      </c>
      <c r="P8" s="44"/>
      <c r="Q8" s="45">
        <v>8</v>
      </c>
      <c r="R8" s="43"/>
      <c r="S8" s="44"/>
      <c r="T8" s="44"/>
      <c r="U8" s="45"/>
      <c r="V8" s="43"/>
      <c r="W8" s="44">
        <f>IF(U9="","",U9)</f>
        <v>1</v>
      </c>
      <c r="X8" s="44"/>
      <c r="Y8" s="45">
        <f>IF(S9="","",S9)</f>
        <v>0</v>
      </c>
      <c r="Z8" s="43"/>
      <c r="AA8" s="44">
        <f>IF(U10="","",U10)</f>
        <v>7</v>
      </c>
      <c r="AB8" s="44"/>
      <c r="AC8" s="45">
        <f>IF(S10="","",S10)</f>
        <v>6</v>
      </c>
      <c r="AD8" s="43"/>
      <c r="AE8" s="44">
        <f>IF(U11="","",U11)</f>
        <v>2</v>
      </c>
      <c r="AF8" s="44"/>
      <c r="AG8" s="45">
        <f>IF(S11="","",S11)</f>
        <v>4</v>
      </c>
      <c r="AH8" s="37">
        <f t="shared" si="1"/>
        <v>4</v>
      </c>
      <c r="AI8" s="37">
        <f t="shared" si="2"/>
        <v>3</v>
      </c>
      <c r="AJ8" s="37">
        <f t="shared" si="3"/>
        <v>0</v>
      </c>
      <c r="AK8" s="38">
        <f t="shared" si="4"/>
        <v>8</v>
      </c>
      <c r="AL8" s="39">
        <f t="shared" si="5"/>
        <v>0</v>
      </c>
      <c r="AM8" s="40">
        <f t="shared" si="6"/>
        <v>0</v>
      </c>
      <c r="AN8" s="41">
        <f t="shared" si="7"/>
        <v>8</v>
      </c>
      <c r="AO8" s="37">
        <f t="shared" si="8"/>
        <v>37</v>
      </c>
      <c r="AP8" s="37">
        <f t="shared" si="9"/>
        <v>31</v>
      </c>
      <c r="AQ8" s="32">
        <f t="shared" si="10"/>
        <v>6</v>
      </c>
      <c r="AR8" s="1"/>
      <c r="AS8" s="1"/>
      <c r="AT8" s="49">
        <f>AY8+COUNTIF(AY$3:AY7,AY8)</f>
        <v>3</v>
      </c>
      <c r="AU8" s="51" t="str">
        <f t="shared" si="11"/>
        <v>木刈ファイターズ</v>
      </c>
      <c r="AV8" s="49">
        <f t="shared" si="0"/>
        <v>8</v>
      </c>
      <c r="AW8" s="49">
        <f t="shared" si="12"/>
        <v>4</v>
      </c>
      <c r="AX8" s="49">
        <f t="shared" si="13"/>
        <v>7</v>
      </c>
      <c r="AY8" s="49">
        <f t="shared" si="14"/>
        <v>2</v>
      </c>
      <c r="AZ8" s="50">
        <f t="shared" si="18"/>
        <v>5</v>
      </c>
      <c r="BA8" s="52" t="str">
        <f t="shared" si="19"/>
        <v>長崎ＦＬＢ</v>
      </c>
      <c r="BB8" s="52">
        <f t="shared" si="20"/>
        <v>6</v>
      </c>
      <c r="BC8" s="52">
        <f t="shared" si="21"/>
        <v>3</v>
      </c>
      <c r="BD8" s="52">
        <f t="shared" si="22"/>
        <v>5</v>
      </c>
      <c r="BE8" s="62"/>
      <c r="BG8" s="49">
        <f>BJ8+COUNTIF(BJ$3:BJ7,BJ8)</f>
        <v>2</v>
      </c>
      <c r="BH8" s="51" t="str">
        <f t="shared" si="15"/>
        <v>木刈ファイターズ</v>
      </c>
      <c r="BI8" s="49">
        <f t="shared" si="16"/>
        <v>7</v>
      </c>
      <c r="BJ8" s="49">
        <f t="shared" si="17"/>
        <v>1</v>
      </c>
      <c r="BK8" s="50">
        <f t="shared" si="23"/>
        <v>3</v>
      </c>
      <c r="BL8" s="52" t="str">
        <f t="shared" si="24"/>
        <v>我孫子ライオンズ</v>
      </c>
    </row>
    <row r="9" spans="1:64" ht="19.5" customHeight="1">
      <c r="A9" s="107" t="s">
        <v>84</v>
      </c>
      <c r="B9" s="43"/>
      <c r="C9" s="44">
        <v>1</v>
      </c>
      <c r="D9" s="44"/>
      <c r="E9" s="45">
        <v>2</v>
      </c>
      <c r="F9" s="43"/>
      <c r="G9" s="44"/>
      <c r="H9" s="44"/>
      <c r="I9" s="45"/>
      <c r="J9" s="43"/>
      <c r="K9" s="44">
        <v>1</v>
      </c>
      <c r="L9" s="44"/>
      <c r="M9" s="45">
        <v>1</v>
      </c>
      <c r="N9" s="43"/>
      <c r="O9" s="44"/>
      <c r="P9" s="44"/>
      <c r="Q9" s="45"/>
      <c r="R9" s="43"/>
      <c r="S9" s="44">
        <v>0</v>
      </c>
      <c r="T9" s="44"/>
      <c r="U9" s="45">
        <v>1</v>
      </c>
      <c r="V9" s="43"/>
      <c r="W9" s="44"/>
      <c r="X9" s="44"/>
      <c r="Y9" s="45"/>
      <c r="Z9" s="43"/>
      <c r="AA9" s="44">
        <f>IF(Y10="","",Y10)</f>
      </c>
      <c r="AB9" s="44"/>
      <c r="AC9" s="45">
        <f>IF(W10="","",W10)</f>
      </c>
      <c r="AD9" s="43"/>
      <c r="AE9" s="44">
        <f>IF(Y11="","",Y11)</f>
        <v>4</v>
      </c>
      <c r="AF9" s="44"/>
      <c r="AG9" s="45">
        <f>IF(W11="","",W11)</f>
        <v>6</v>
      </c>
      <c r="AH9" s="37">
        <f t="shared" si="1"/>
        <v>0</v>
      </c>
      <c r="AI9" s="37">
        <f t="shared" si="2"/>
        <v>3</v>
      </c>
      <c r="AJ9" s="37">
        <f t="shared" si="3"/>
        <v>1</v>
      </c>
      <c r="AK9" s="38">
        <f t="shared" si="4"/>
        <v>0</v>
      </c>
      <c r="AL9" s="39">
        <f t="shared" si="5"/>
        <v>0</v>
      </c>
      <c r="AM9" s="40">
        <f t="shared" si="6"/>
        <v>1</v>
      </c>
      <c r="AN9" s="41">
        <f t="shared" si="7"/>
        <v>1</v>
      </c>
      <c r="AO9" s="37">
        <f t="shared" si="8"/>
        <v>6</v>
      </c>
      <c r="AP9" s="37">
        <f t="shared" si="9"/>
        <v>10</v>
      </c>
      <c r="AQ9" s="37">
        <f t="shared" si="10"/>
        <v>-4</v>
      </c>
      <c r="AR9" s="1"/>
      <c r="AS9" s="1"/>
      <c r="AT9" s="49">
        <f>AY9+COUNTIF(AY$3:AY8,AY9)</f>
        <v>8</v>
      </c>
      <c r="AU9" s="51" t="str">
        <f t="shared" si="11"/>
        <v>柏ドリームス</v>
      </c>
      <c r="AV9" s="49">
        <f t="shared" si="0"/>
        <v>1</v>
      </c>
      <c r="AW9" s="49">
        <f t="shared" si="12"/>
        <v>0</v>
      </c>
      <c r="AX9" s="49">
        <f t="shared" si="13"/>
        <v>4</v>
      </c>
      <c r="AY9" s="49">
        <f t="shared" si="14"/>
        <v>8</v>
      </c>
      <c r="AZ9" s="50">
        <f t="shared" si="18"/>
        <v>6</v>
      </c>
      <c r="BA9" s="52" t="str">
        <f t="shared" si="19"/>
        <v>松戸中央エンジェルス</v>
      </c>
      <c r="BB9" s="52">
        <f t="shared" si="20"/>
        <v>3</v>
      </c>
      <c r="BC9" s="52">
        <f t="shared" si="21"/>
        <v>1</v>
      </c>
      <c r="BD9" s="52">
        <f t="shared" si="22"/>
        <v>6</v>
      </c>
      <c r="BE9" s="62"/>
      <c r="BG9" s="49">
        <f>BJ9+COUNTIF(BJ$3:BJ8,BJ9)</f>
        <v>8</v>
      </c>
      <c r="BH9" s="51" t="str">
        <f t="shared" si="15"/>
        <v>柏ドリームス</v>
      </c>
      <c r="BI9" s="49">
        <f t="shared" si="16"/>
        <v>4</v>
      </c>
      <c r="BJ9" s="49">
        <f t="shared" si="17"/>
        <v>8</v>
      </c>
      <c r="BK9" s="50">
        <f t="shared" si="23"/>
        <v>6</v>
      </c>
      <c r="BL9" s="52" t="str">
        <f t="shared" si="24"/>
        <v>野菊野ファイターズ</v>
      </c>
    </row>
    <row r="10" spans="1:64" ht="19.5" customHeight="1">
      <c r="A10" s="107" t="s">
        <v>85</v>
      </c>
      <c r="B10" s="43"/>
      <c r="C10" s="44">
        <v>4</v>
      </c>
      <c r="D10" s="44"/>
      <c r="E10" s="45">
        <v>3</v>
      </c>
      <c r="F10" s="43"/>
      <c r="G10" s="44">
        <v>0</v>
      </c>
      <c r="H10" s="44"/>
      <c r="I10" s="45">
        <v>7</v>
      </c>
      <c r="J10" s="43"/>
      <c r="K10" s="44">
        <v>1</v>
      </c>
      <c r="L10" s="44"/>
      <c r="M10" s="45">
        <v>3</v>
      </c>
      <c r="N10" s="43"/>
      <c r="O10" s="44">
        <v>6</v>
      </c>
      <c r="P10" s="44"/>
      <c r="Q10" s="45">
        <v>7</v>
      </c>
      <c r="R10" s="43"/>
      <c r="S10" s="44">
        <v>6</v>
      </c>
      <c r="T10" s="44"/>
      <c r="U10" s="45">
        <v>7</v>
      </c>
      <c r="V10" s="43"/>
      <c r="W10" s="44"/>
      <c r="X10" s="44"/>
      <c r="Y10" s="45"/>
      <c r="Z10" s="43"/>
      <c r="AA10" s="44"/>
      <c r="AB10" s="44"/>
      <c r="AC10" s="45"/>
      <c r="AD10" s="43"/>
      <c r="AE10" s="44">
        <f>IF(AC11="","",AC11)</f>
        <v>5</v>
      </c>
      <c r="AF10" s="44"/>
      <c r="AG10" s="45">
        <f>IF(AA11="","",AA11)</f>
        <v>8</v>
      </c>
      <c r="AH10" s="37">
        <f t="shared" si="1"/>
        <v>1</v>
      </c>
      <c r="AI10" s="37">
        <f t="shared" si="2"/>
        <v>5</v>
      </c>
      <c r="AJ10" s="37">
        <f t="shared" si="3"/>
        <v>0</v>
      </c>
      <c r="AK10" s="38">
        <f t="shared" si="4"/>
        <v>2</v>
      </c>
      <c r="AL10" s="39">
        <f t="shared" si="5"/>
        <v>0</v>
      </c>
      <c r="AM10" s="40">
        <f t="shared" si="6"/>
        <v>0</v>
      </c>
      <c r="AN10" s="41">
        <f t="shared" si="7"/>
        <v>2</v>
      </c>
      <c r="AO10" s="37">
        <f t="shared" si="8"/>
        <v>22</v>
      </c>
      <c r="AP10" s="37">
        <f t="shared" si="9"/>
        <v>35</v>
      </c>
      <c r="AQ10" s="37">
        <f t="shared" si="10"/>
        <v>-13</v>
      </c>
      <c r="AR10" s="1"/>
      <c r="AS10" s="1"/>
      <c r="AT10" s="49">
        <f>AY10+COUNTIF(AY$3:AY9,AY10)</f>
        <v>7</v>
      </c>
      <c r="AU10" s="51" t="str">
        <f t="shared" si="11"/>
        <v>光ヶ丘シャークス</v>
      </c>
      <c r="AV10" s="49">
        <f t="shared" si="0"/>
        <v>2</v>
      </c>
      <c r="AW10" s="49">
        <f t="shared" si="12"/>
        <v>1</v>
      </c>
      <c r="AX10" s="49">
        <f t="shared" si="13"/>
        <v>6</v>
      </c>
      <c r="AY10" s="49">
        <f t="shared" si="14"/>
        <v>7</v>
      </c>
      <c r="AZ10" s="50">
        <f t="shared" si="18"/>
        <v>7</v>
      </c>
      <c r="BA10" s="52" t="str">
        <f t="shared" si="19"/>
        <v>光ヶ丘シャークス</v>
      </c>
      <c r="BB10" s="52">
        <f t="shared" si="20"/>
        <v>2</v>
      </c>
      <c r="BC10" s="52">
        <f t="shared" si="21"/>
        <v>1</v>
      </c>
      <c r="BD10" s="52">
        <f t="shared" si="22"/>
        <v>6</v>
      </c>
      <c r="BE10" s="62"/>
      <c r="BG10" s="49">
        <f>BJ10+COUNTIF(BJ$3:BJ9,BJ10)</f>
        <v>4</v>
      </c>
      <c r="BH10" s="51" t="str">
        <f t="shared" si="15"/>
        <v>光ヶ丘シャークス</v>
      </c>
      <c r="BI10" s="49">
        <f t="shared" si="16"/>
        <v>6</v>
      </c>
      <c r="BJ10" s="49">
        <f t="shared" si="17"/>
        <v>3</v>
      </c>
      <c r="BK10" s="50">
        <f t="shared" si="23"/>
        <v>6</v>
      </c>
      <c r="BL10" s="52" t="str">
        <f t="shared" si="24"/>
        <v>長崎ＦＬＢ</v>
      </c>
    </row>
    <row r="11" spans="1:64" ht="19.5" customHeight="1">
      <c r="A11" s="107" t="s">
        <v>86</v>
      </c>
      <c r="B11" s="43"/>
      <c r="C11" s="44">
        <v>3</v>
      </c>
      <c r="D11" s="44"/>
      <c r="E11" s="45">
        <v>4</v>
      </c>
      <c r="F11" s="43"/>
      <c r="G11" s="44"/>
      <c r="H11" s="44"/>
      <c r="I11" s="45"/>
      <c r="J11" s="43"/>
      <c r="K11" s="44">
        <v>7</v>
      </c>
      <c r="L11" s="44"/>
      <c r="M11" s="45">
        <v>1</v>
      </c>
      <c r="N11" s="43"/>
      <c r="O11" s="44">
        <v>0</v>
      </c>
      <c r="P11" s="44"/>
      <c r="Q11" s="45">
        <v>1</v>
      </c>
      <c r="R11" s="43"/>
      <c r="S11" s="44">
        <v>4</v>
      </c>
      <c r="T11" s="44"/>
      <c r="U11" s="45">
        <v>2</v>
      </c>
      <c r="V11" s="43"/>
      <c r="W11" s="44">
        <v>6</v>
      </c>
      <c r="X11" s="44"/>
      <c r="Y11" s="45">
        <v>4</v>
      </c>
      <c r="Z11" s="43"/>
      <c r="AA11" s="44">
        <v>8</v>
      </c>
      <c r="AB11" s="44"/>
      <c r="AC11" s="45">
        <v>5</v>
      </c>
      <c r="AD11" s="43"/>
      <c r="AE11" s="44"/>
      <c r="AF11" s="44"/>
      <c r="AG11" s="45"/>
      <c r="AH11" s="37">
        <f t="shared" si="1"/>
        <v>4</v>
      </c>
      <c r="AI11" s="37">
        <f t="shared" si="2"/>
        <v>2</v>
      </c>
      <c r="AJ11" s="37">
        <f t="shared" si="3"/>
        <v>0</v>
      </c>
      <c r="AK11" s="38">
        <f t="shared" si="4"/>
        <v>8</v>
      </c>
      <c r="AL11" s="39">
        <f t="shared" si="5"/>
        <v>0</v>
      </c>
      <c r="AM11" s="40">
        <f t="shared" si="6"/>
        <v>0</v>
      </c>
      <c r="AN11" s="41">
        <f t="shared" si="7"/>
        <v>8</v>
      </c>
      <c r="AO11" s="37">
        <f t="shared" si="8"/>
        <v>28</v>
      </c>
      <c r="AP11" s="37">
        <f t="shared" si="9"/>
        <v>17</v>
      </c>
      <c r="AQ11" s="37">
        <f>AO11-AP11</f>
        <v>11</v>
      </c>
      <c r="AR11" s="1"/>
      <c r="AS11" s="1"/>
      <c r="AT11" s="49">
        <f>AY11+COUNTIF(AY$3:AY10,AY11)</f>
        <v>4</v>
      </c>
      <c r="AU11" s="51" t="str">
        <f t="shared" si="11"/>
        <v>我孫子ライオンズ</v>
      </c>
      <c r="AV11" s="49">
        <f t="shared" si="0"/>
        <v>8</v>
      </c>
      <c r="AW11" s="49">
        <f t="shared" si="12"/>
        <v>4</v>
      </c>
      <c r="AX11" s="49">
        <f t="shared" si="13"/>
        <v>6</v>
      </c>
      <c r="AY11" s="49">
        <f t="shared" si="14"/>
        <v>2</v>
      </c>
      <c r="AZ11" s="50">
        <f t="shared" si="18"/>
        <v>7</v>
      </c>
      <c r="BA11" s="52" t="str">
        <f t="shared" si="19"/>
        <v>柏ドリームス</v>
      </c>
      <c r="BB11" s="52">
        <f t="shared" si="20"/>
        <v>1</v>
      </c>
      <c r="BC11" s="52">
        <f t="shared" si="21"/>
        <v>0</v>
      </c>
      <c r="BD11" s="52">
        <f t="shared" si="22"/>
        <v>4</v>
      </c>
      <c r="BE11" s="62"/>
      <c r="BG11" s="49">
        <f>BJ11+COUNTIF(BJ$3:BJ10,BJ11)</f>
        <v>5</v>
      </c>
      <c r="BH11" s="51" t="str">
        <f t="shared" si="15"/>
        <v>我孫子ライオンズ</v>
      </c>
      <c r="BI11" s="49">
        <f t="shared" si="16"/>
        <v>6</v>
      </c>
      <c r="BJ11" s="49">
        <f t="shared" si="17"/>
        <v>3</v>
      </c>
      <c r="BK11" s="50">
        <f t="shared" si="23"/>
        <v>8</v>
      </c>
      <c r="BL11" s="52" t="str">
        <f t="shared" si="24"/>
        <v>柏ドリームス</v>
      </c>
    </row>
    <row r="12" spans="1:64" ht="19.5" customHeight="1">
      <c r="A12" s="9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>
        <f>SUM(AH4:AH11)</f>
        <v>22</v>
      </c>
      <c r="AJ12" s="7">
        <f>SUM(AI4:AI11)</f>
        <v>22</v>
      </c>
      <c r="AK12" s="7">
        <f>SUM(AJ4:AJ11)</f>
        <v>2</v>
      </c>
      <c r="AL12" s="7"/>
      <c r="AM12" s="7"/>
      <c r="AN12" s="1"/>
      <c r="AO12" s="7">
        <f>SUM(AO4:AO11)</f>
        <v>175</v>
      </c>
      <c r="AP12" s="7">
        <f>SUM(AP4:AP11)</f>
        <v>175</v>
      </c>
      <c r="AQ12" s="7">
        <f>SUM(AQ4:AQ11)</f>
        <v>0</v>
      </c>
      <c r="AT12" s="53"/>
      <c r="AU12" s="54"/>
      <c r="AV12" s="53"/>
      <c r="AW12" s="53"/>
      <c r="AX12" s="53"/>
      <c r="AY12" s="53"/>
      <c r="AZ12" s="55"/>
      <c r="BA12" s="56"/>
      <c r="BB12" s="62"/>
      <c r="BC12" s="62"/>
      <c r="BD12" s="62"/>
      <c r="BE12" s="62"/>
      <c r="BF12" s="57"/>
      <c r="BG12" s="53"/>
      <c r="BH12" s="54"/>
      <c r="BI12" s="53">
        <f>SUM(BI4:BI11)/2</f>
        <v>23</v>
      </c>
      <c r="BJ12" s="3">
        <f>8*7/2</f>
        <v>28</v>
      </c>
      <c r="BK12" s="55"/>
      <c r="BL12" s="56"/>
    </row>
    <row r="13" spans="1:65" ht="19.5" customHeight="1">
      <c r="A13" s="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7"/>
      <c r="AM13" s="7"/>
      <c r="AN13" s="7"/>
      <c r="AO13" s="7"/>
      <c r="AP13" s="7"/>
      <c r="AQ13" s="7"/>
      <c r="AR13" s="7"/>
      <c r="AS13" s="7"/>
      <c r="AT13" s="7"/>
      <c r="AU13" s="7"/>
      <c r="BM13" s="60"/>
    </row>
    <row r="14" spans="1:47" ht="19.5" customHeight="1">
      <c r="A14" s="4" t="s">
        <v>1</v>
      </c>
      <c r="B14" s="90" t="s">
        <v>71</v>
      </c>
      <c r="C14" s="58"/>
      <c r="D14" s="58"/>
      <c r="E14" s="58"/>
      <c r="F14" s="58"/>
      <c r="G14" s="158" t="str">
        <f>"１日"&amp;ROUND((BJ24-BI24)/'戦績'!N42,1)&amp;"試合"</f>
        <v>１日1試合</v>
      </c>
      <c r="H14" s="158"/>
      <c r="I14" s="158"/>
      <c r="J14" s="158"/>
      <c r="K14" s="153" t="s">
        <v>27</v>
      </c>
      <c r="L14" s="153"/>
      <c r="M14" s="153"/>
      <c r="N14" s="153"/>
      <c r="O14" s="154" t="str">
        <f>IF(C83&gt;C82,+BA16,"")</f>
        <v>常盤平ボーイズ</v>
      </c>
      <c r="P14" s="154"/>
      <c r="Q14" s="154"/>
      <c r="R14" s="154"/>
      <c r="S14" s="154"/>
      <c r="T14" s="59"/>
      <c r="U14" s="153" t="s">
        <v>28</v>
      </c>
      <c r="V14" s="153"/>
      <c r="W14" s="153"/>
      <c r="X14" s="153"/>
      <c r="Y14" s="154" t="str">
        <f>IF(C83&gt;C82,BA17,"")</f>
        <v>増尾レッドスターズ</v>
      </c>
      <c r="Z14" s="154"/>
      <c r="AA14" s="154"/>
      <c r="AB14" s="154"/>
      <c r="AC14" s="154"/>
      <c r="AD14" s="154"/>
      <c r="AE14" s="1"/>
      <c r="AF14" s="61" t="s">
        <v>30</v>
      </c>
      <c r="AG14" s="1"/>
      <c r="AH14" s="1"/>
      <c r="AI14" s="1"/>
      <c r="AJ14" s="151">
        <f>+BI24/(MAX(AT16:AT23)*(MAX(AT16:AT23)-1)/2)</f>
        <v>0.8928571428571429</v>
      </c>
      <c r="AK14" s="151"/>
      <c r="AL14" s="67">
        <f>IF(AL13=AM13,"","計算間違い")</f>
      </c>
      <c r="AM14" s="1"/>
      <c r="AN14" s="1"/>
      <c r="AO14" s="1"/>
      <c r="AP14" s="67">
        <f>IF(AN13/2=TRUNC(AN13/2,0),"","計算間違い")</f>
      </c>
      <c r="AQ14" s="1"/>
      <c r="AR14" s="1"/>
      <c r="AS14" s="1"/>
      <c r="AT14" s="1"/>
      <c r="AU14" s="1"/>
    </row>
    <row r="15" spans="1:61" ht="19.5" customHeight="1">
      <c r="A15" s="5"/>
      <c r="B15" s="152" t="str">
        <f>+A16</f>
        <v>松戸カージナルス</v>
      </c>
      <c r="C15" s="152"/>
      <c r="D15" s="152"/>
      <c r="E15" s="152"/>
      <c r="F15" s="152" t="str">
        <f>+A17</f>
        <v>高塚新田ラークス</v>
      </c>
      <c r="G15" s="152"/>
      <c r="H15" s="152"/>
      <c r="I15" s="152"/>
      <c r="J15" s="152" t="str">
        <f>+A18</f>
        <v>常盤平ボーイズ</v>
      </c>
      <c r="K15" s="152"/>
      <c r="L15" s="152"/>
      <c r="M15" s="152"/>
      <c r="N15" s="152" t="str">
        <f>+A19</f>
        <v>幸房スターズ</v>
      </c>
      <c r="O15" s="152"/>
      <c r="P15" s="152"/>
      <c r="Q15" s="152"/>
      <c r="R15" s="152" t="str">
        <f>+A20</f>
        <v>清水口ファイターズ</v>
      </c>
      <c r="S15" s="152"/>
      <c r="T15" s="152"/>
      <c r="U15" s="152"/>
      <c r="V15" s="152" t="str">
        <f>+A21</f>
        <v>大津が丘ファイターズ</v>
      </c>
      <c r="W15" s="152"/>
      <c r="X15" s="152"/>
      <c r="Y15" s="152"/>
      <c r="Z15" s="152" t="str">
        <f>+A22</f>
        <v>増尾レッドスターズ</v>
      </c>
      <c r="AA15" s="152"/>
      <c r="AB15" s="152"/>
      <c r="AC15" s="152"/>
      <c r="AD15" s="152" t="str">
        <f>+A23</f>
        <v>リトルジャガース</v>
      </c>
      <c r="AE15" s="152"/>
      <c r="AF15" s="152"/>
      <c r="AG15" s="152"/>
      <c r="AH15" s="32" t="s">
        <v>7</v>
      </c>
      <c r="AI15" s="32" t="s">
        <v>8</v>
      </c>
      <c r="AJ15" s="32" t="s">
        <v>9</v>
      </c>
      <c r="AK15" s="33" t="s">
        <v>14</v>
      </c>
      <c r="AL15" s="34" t="s">
        <v>15</v>
      </c>
      <c r="AM15" s="35" t="s">
        <v>16</v>
      </c>
      <c r="AN15" s="36" t="s">
        <v>10</v>
      </c>
      <c r="AO15" s="32" t="s">
        <v>11</v>
      </c>
      <c r="AP15" s="32" t="s">
        <v>12</v>
      </c>
      <c r="AQ15" s="32" t="s">
        <v>13</v>
      </c>
      <c r="AR15" s="1"/>
      <c r="AS15" s="1"/>
      <c r="AU15" s="3" t="s">
        <v>21</v>
      </c>
      <c r="AV15" s="3" t="s">
        <v>22</v>
      </c>
      <c r="BH15" s="3" t="s">
        <v>21</v>
      </c>
      <c r="BI15" s="3" t="s">
        <v>23</v>
      </c>
    </row>
    <row r="16" spans="1:64" ht="19.5" customHeight="1">
      <c r="A16" s="107" t="s">
        <v>87</v>
      </c>
      <c r="B16" s="43"/>
      <c r="C16" s="44"/>
      <c r="D16" s="44"/>
      <c r="E16" s="45"/>
      <c r="F16" s="43"/>
      <c r="G16" s="44">
        <f>IF(E17="","",E17)</f>
        <v>4</v>
      </c>
      <c r="H16" s="44"/>
      <c r="I16" s="45">
        <f>IF(C17="","",C17)</f>
        <v>2</v>
      </c>
      <c r="J16" s="43"/>
      <c r="K16" s="44">
        <f>IF(E18="","",E18)</f>
        <v>2</v>
      </c>
      <c r="L16" s="44"/>
      <c r="M16" s="45">
        <f>IF(C18="","",C18)</f>
        <v>3</v>
      </c>
      <c r="N16" s="43"/>
      <c r="O16" s="44">
        <f>IF(E19="","",E19)</f>
        <v>1</v>
      </c>
      <c r="P16" s="44"/>
      <c r="Q16" s="45">
        <f>IF(C19="","",C19)</f>
        <v>4</v>
      </c>
      <c r="R16" s="43"/>
      <c r="S16" s="44">
        <f>IF(E20="","",E20)</f>
      </c>
      <c r="T16" s="44"/>
      <c r="U16" s="45">
        <f>IF(C20="","",C20)</f>
      </c>
      <c r="V16" s="43"/>
      <c r="W16" s="44">
        <f>IF(E21="","",E21)</f>
        <v>11</v>
      </c>
      <c r="X16" s="44"/>
      <c r="Y16" s="45">
        <f>IF(C21="","",C21)</f>
        <v>2</v>
      </c>
      <c r="Z16" s="43"/>
      <c r="AA16" s="44">
        <f>IF(E22="","",E22)</f>
        <v>1</v>
      </c>
      <c r="AB16" s="44"/>
      <c r="AC16" s="45">
        <f>IF(C22="","",C22)</f>
        <v>7</v>
      </c>
      <c r="AD16" s="43"/>
      <c r="AE16" s="44">
        <f>IF(E23="","",E23)</f>
        <v>13</v>
      </c>
      <c r="AF16" s="44"/>
      <c r="AG16" s="45">
        <f>IF(C23="","",C23)</f>
        <v>0</v>
      </c>
      <c r="AH16" s="37">
        <f>IF(C16&gt;E16,1,0)+IF(G16&gt;I16,1,0)+IF(K16&gt;M16,1,0)+IF(O16&gt;Q16,1,0)+IF(S16&gt;U16,1,0)+IF(W16&gt;Y16,1,0)+IF(AA16&gt;AC16,1,0)+IF(AE16&gt;AG16,1,0)</f>
        <v>3</v>
      </c>
      <c r="AI16" s="37">
        <f>IF(C16&lt;E16,1,0)+IF(G16&lt;I16,1,0)+IF(K16&lt;M16,1,0)+IF(O16&lt;Q16,1,0)+IF(S16&lt;U16,1,0)+IF(W16&lt;Y16,1,0)+IF(AA16&lt;AC16,1,0)+IF(AE16&lt;AG16,1,0)</f>
        <v>3</v>
      </c>
      <c r="AJ16" s="37">
        <f>IF(AND(ISNUMBER(C16),C16=E16),1,0)+IF(AND(ISNUMBER(G16),G16=I16),1,0)+IF(AND(ISNUMBER(K16),K16=M16),1,)+IF(AND(ISNUMBER(O16),O16=Q16),1,0)+IF(AND(ISNUMBER(S16),S16=U16),1,0)+IF(AND(ISNUMBER(W16),W16=Y16),1,0)+IF(AND(ISNUMBER(AA16),AA16=AC16),1,0)+IF(AND(ISNUMBER(AE16),AE16=AG16),1,0)</f>
        <v>0</v>
      </c>
      <c r="AK16" s="38">
        <f>AH16*2</f>
        <v>6</v>
      </c>
      <c r="AL16" s="39">
        <f>AI16*0</f>
        <v>0</v>
      </c>
      <c r="AM16" s="40">
        <f>AJ16*1</f>
        <v>0</v>
      </c>
      <c r="AN16" s="41">
        <f>AK16+AL16+AM16</f>
        <v>6</v>
      </c>
      <c r="AO16" s="37">
        <f>IF(ISNUMBER(G16),G16,0)+IF(ISNUMBER(K16),K16,0)+IF(ISNUMBER(O16),O16,0)+IF(ISNUMBER(AA16),AA16,0)+IF(ISNUMBER(AE16),AE16,0)+IF(ISNUMBER(S16),S16,0)+IF(ISNUMBER(W16),W16,0)+IF(ISNUMBER(C16),C16,0)</f>
        <v>32</v>
      </c>
      <c r="AP16" s="37">
        <f>IF(ISNUMBER(I16),I16,0)+IF(ISNUMBER(M16),M16,0)+IF(ISNUMBER(Q16),Q16,0)+IF(ISNUMBER(AC16),AC16,0)+IF(ISNUMBER(AG16),AG16,0)+IF(ISNUMBER(U16),U16,0)+IF(ISNUMBER(Y16),Y16,0)+IF(ISNUMBER(E16),E16,0)</f>
        <v>18</v>
      </c>
      <c r="AQ16" s="37">
        <f>AO16-AP16</f>
        <v>14</v>
      </c>
      <c r="AR16" s="1"/>
      <c r="AS16" s="1"/>
      <c r="AT16" s="49">
        <f>AY16+COUNTIF(AY15:AY$15,AY16)</f>
        <v>5</v>
      </c>
      <c r="AU16" s="51" t="str">
        <f>+A16</f>
        <v>松戸カージナルス</v>
      </c>
      <c r="AV16" s="49">
        <f aca="true" t="shared" si="25" ref="AV16:AV23">+AN16</f>
        <v>6</v>
      </c>
      <c r="AW16" s="49">
        <f>+AH16</f>
        <v>3</v>
      </c>
      <c r="AX16" s="49">
        <f>+AH16+AI16+AJ16</f>
        <v>6</v>
      </c>
      <c r="AY16" s="49">
        <f>RANK(AV16,AV$16:AV$23)</f>
        <v>5</v>
      </c>
      <c r="AZ16" s="50">
        <f>VLOOKUP(ROW(AX1),$AT$16:$AZ$23,6,FALSE)</f>
        <v>1</v>
      </c>
      <c r="BA16" s="52" t="str">
        <f>VLOOKUP(ROW(AX1),$AT$16:$AY$23,2,FALSE)</f>
        <v>常盤平ボーイズ</v>
      </c>
      <c r="BB16" s="52">
        <f>VLOOKUP(ROW(AX1),$AT$16:$AY$23,3,FALSE)</f>
        <v>12</v>
      </c>
      <c r="BC16" s="52">
        <f>VLOOKUP(ROW(AX1),$AT$16:$AY$23,4,FALSE)</f>
        <v>6</v>
      </c>
      <c r="BD16" s="52">
        <f>VLOOKUP(ROW(AX1),$AT$16:$AY$23,5,FALSE)</f>
        <v>7</v>
      </c>
      <c r="BE16" s="62"/>
      <c r="BG16" s="49">
        <f>BJ16+COUNTIF(BJ$15:BJ15,BJ16)</f>
        <v>5</v>
      </c>
      <c r="BH16" s="51" t="str">
        <f>+AU16</f>
        <v>松戸カージナルス</v>
      </c>
      <c r="BI16" s="49">
        <f>COUNT(B16:AG16)/2</f>
        <v>6</v>
      </c>
      <c r="BJ16" s="49">
        <f>RANK(BI16,BI$16:BI$23)</f>
        <v>5</v>
      </c>
      <c r="BK16" s="50">
        <f>VLOOKUP(ROW(BK1),$BG$16:$BJ$23,4,FALSE)</f>
        <v>1</v>
      </c>
      <c r="BL16" s="52" t="str">
        <f>VLOOKUP(ROW(BL1),$BG$16:$BJ$23,2,FALSE)</f>
        <v>高塚新田ラークス</v>
      </c>
    </row>
    <row r="17" spans="1:64" ht="19.5" customHeight="1">
      <c r="A17" s="107" t="s">
        <v>88</v>
      </c>
      <c r="B17" s="43"/>
      <c r="C17" s="44">
        <v>2</v>
      </c>
      <c r="D17" s="44"/>
      <c r="E17" s="45">
        <v>4</v>
      </c>
      <c r="F17" s="43"/>
      <c r="G17" s="44"/>
      <c r="H17" s="44"/>
      <c r="I17" s="45"/>
      <c r="J17" s="43"/>
      <c r="K17" s="44">
        <f>IF(I18="","",I18)</f>
        <v>2</v>
      </c>
      <c r="L17" s="44"/>
      <c r="M17" s="45">
        <f>IF(G18="","",G18)</f>
        <v>0</v>
      </c>
      <c r="N17" s="43"/>
      <c r="O17" s="44">
        <f>IF(I19="","",I19)</f>
        <v>10</v>
      </c>
      <c r="P17" s="44"/>
      <c r="Q17" s="45">
        <f>IF(G19="","",G19)</f>
        <v>6</v>
      </c>
      <c r="R17" s="43"/>
      <c r="S17" s="44">
        <f>IF(I20="","",I20)</f>
        <v>11</v>
      </c>
      <c r="T17" s="44"/>
      <c r="U17" s="45">
        <f>IF(G20="","",G20)</f>
        <v>2</v>
      </c>
      <c r="V17" s="43"/>
      <c r="W17" s="44">
        <f>IF(I21="","",I21)</f>
        <v>11</v>
      </c>
      <c r="X17" s="44"/>
      <c r="Y17" s="45">
        <f>IF(G21="","",G21)</f>
        <v>4</v>
      </c>
      <c r="Z17" s="43"/>
      <c r="AA17" s="44">
        <f>IF(I22="","",I22)</f>
        <v>1</v>
      </c>
      <c r="AB17" s="44"/>
      <c r="AC17" s="45">
        <f>IF(G22="","",G22)</f>
        <v>2</v>
      </c>
      <c r="AD17" s="43"/>
      <c r="AE17" s="44">
        <f>IF(I23="","",I23)</f>
        <v>10</v>
      </c>
      <c r="AF17" s="44"/>
      <c r="AG17" s="45">
        <f>IF(G23="","",G23)</f>
        <v>3</v>
      </c>
      <c r="AH17" s="37">
        <f aca="true" t="shared" si="26" ref="AH17:AH23">IF(C17&gt;E17,1,0)+IF(G17&gt;I17,1,0)+IF(K17&gt;M17,1,0)+IF(O17&gt;Q17,1,0)+IF(S17&gt;U17,1,0)+IF(W17&gt;Y17,1,0)+IF(AA17&gt;AC17,1,0)+IF(AE17&gt;AG17,1,0)</f>
        <v>5</v>
      </c>
      <c r="AI17" s="37">
        <f aca="true" t="shared" si="27" ref="AI17:AI23">IF(C17&lt;E17,1,0)+IF(G17&lt;I17,1,0)+IF(K17&lt;M17,1,0)+IF(O17&lt;Q17,1,0)+IF(S17&lt;U17,1,0)+IF(W17&lt;Y17,1,0)+IF(AA17&lt;AC17,1,0)+IF(AE17&lt;AG17,1,0)</f>
        <v>2</v>
      </c>
      <c r="AJ17" s="37">
        <f aca="true" t="shared" si="28" ref="AJ17:AJ23">IF(AND(ISNUMBER(C17),C17=E17),1,0)+IF(AND(ISNUMBER(G17),G17=I17),1,0)+IF(AND(ISNUMBER(K17),K17=M17),1,)+IF(AND(ISNUMBER(O17),O17=Q17),1,0)+IF(AND(ISNUMBER(S17),S17=U17),1,0)+IF(AND(ISNUMBER(W17),W17=Y17),1,0)+IF(AND(ISNUMBER(AA17),AA17=AC17),1,0)+IF(AND(ISNUMBER(AE17),AE17=AG17),1,0)</f>
        <v>0</v>
      </c>
      <c r="AK17" s="38">
        <f aca="true" t="shared" si="29" ref="AK17:AK23">AH17*2</f>
        <v>10</v>
      </c>
      <c r="AL17" s="39">
        <f aca="true" t="shared" si="30" ref="AL17:AL23">AI17*0</f>
        <v>0</v>
      </c>
      <c r="AM17" s="40">
        <f aca="true" t="shared" si="31" ref="AM17:AM23">AJ17*1</f>
        <v>0</v>
      </c>
      <c r="AN17" s="41">
        <f aca="true" t="shared" si="32" ref="AN17:AN23">AK17+AL17+AM17</f>
        <v>10</v>
      </c>
      <c r="AO17" s="37">
        <f aca="true" t="shared" si="33" ref="AO17:AO23">IF(ISNUMBER(G17),G17,0)+IF(ISNUMBER(K17),K17,0)+IF(ISNUMBER(O17),O17,0)+IF(ISNUMBER(AA17),AA17,0)+IF(ISNUMBER(AE17),AE17,0)+IF(ISNUMBER(S17),S17,0)+IF(ISNUMBER(W17),W17,0)+IF(ISNUMBER(C17),C17,0)</f>
        <v>47</v>
      </c>
      <c r="AP17" s="37">
        <f aca="true" t="shared" si="34" ref="AP17:AP23">IF(ISNUMBER(I17),I17,0)+IF(ISNUMBER(M17),M17,0)+IF(ISNUMBER(Q17),Q17,0)+IF(ISNUMBER(AC17),AC17,0)+IF(ISNUMBER(AG17),AG17,0)+IF(ISNUMBER(U17),U17,0)+IF(ISNUMBER(Y17),Y17,0)+IF(ISNUMBER(E17),E17,0)</f>
        <v>21</v>
      </c>
      <c r="AQ17" s="32">
        <f aca="true" t="shared" si="35" ref="AQ17:AQ22">AO17-AP17</f>
        <v>26</v>
      </c>
      <c r="AR17" s="1"/>
      <c r="AS17" s="1"/>
      <c r="AT17" s="49">
        <f>AY17+COUNTIF(AY$15:AY16,AY17)</f>
        <v>3</v>
      </c>
      <c r="AU17" s="51" t="str">
        <f aca="true" t="shared" si="36" ref="AU17:AU23">+A17</f>
        <v>高塚新田ラークス</v>
      </c>
      <c r="AV17" s="49">
        <f t="shared" si="25"/>
        <v>10</v>
      </c>
      <c r="AW17" s="49">
        <f aca="true" t="shared" si="37" ref="AW17:AW23">+AH17</f>
        <v>5</v>
      </c>
      <c r="AX17" s="49">
        <f aca="true" t="shared" si="38" ref="AX17:AX23">+AH17+AI17+AJ17</f>
        <v>7</v>
      </c>
      <c r="AY17" s="49">
        <f aca="true" t="shared" si="39" ref="AY17:AY23">RANK(AV17,AV$16:AV$23)</f>
        <v>3</v>
      </c>
      <c r="AZ17" s="50">
        <f>VLOOKUP(ROW(AX2),$AT$16:$AZ$23,6,FALSE)</f>
        <v>2</v>
      </c>
      <c r="BA17" s="52" t="str">
        <f>VLOOKUP(ROW(AX2),$AT$16:$AY$23,2,FALSE)</f>
        <v>増尾レッドスターズ</v>
      </c>
      <c r="BB17" s="52">
        <f>VLOOKUP(ROW(AX2),$AT$16:$AY$23,3,FALSE)</f>
        <v>11</v>
      </c>
      <c r="BC17" s="52">
        <f>VLOOKUP(ROW(AX2),$AT$16:$AY$23,4,FALSE)</f>
        <v>5</v>
      </c>
      <c r="BD17" s="52">
        <f>VLOOKUP(ROW(AX2),$AT$16:$AY$23,5,FALSE)</f>
        <v>7</v>
      </c>
      <c r="BE17" s="62"/>
      <c r="BG17" s="49">
        <f>BJ17+COUNTIF(BJ$15:BJ16,BJ17)</f>
        <v>1</v>
      </c>
      <c r="BH17" s="51" t="str">
        <f aca="true" t="shared" si="40" ref="BH17:BH23">+AU17</f>
        <v>高塚新田ラークス</v>
      </c>
      <c r="BI17" s="49">
        <f aca="true" t="shared" si="41" ref="BI17:BI23">COUNT(B17:AG17)/2</f>
        <v>7</v>
      </c>
      <c r="BJ17" s="49">
        <f aca="true" t="shared" si="42" ref="BJ17:BJ23">RANK(BI17,BI$16:BI$23)</f>
        <v>1</v>
      </c>
      <c r="BK17" s="50">
        <f>VLOOKUP(ROW(BK2),$BG$16:$BJ$23,4,FALSE)</f>
        <v>1</v>
      </c>
      <c r="BL17" s="52" t="str">
        <f>VLOOKUP(ROW(BL2),$BG$16:$BJ$23,2,FALSE)</f>
        <v>常盤平ボーイズ</v>
      </c>
    </row>
    <row r="18" spans="1:64" ht="19.5" customHeight="1">
      <c r="A18" s="107" t="s">
        <v>89</v>
      </c>
      <c r="B18" s="43"/>
      <c r="C18" s="44">
        <v>3</v>
      </c>
      <c r="D18" s="44"/>
      <c r="E18" s="45">
        <v>2</v>
      </c>
      <c r="F18" s="43"/>
      <c r="G18" s="44">
        <v>0</v>
      </c>
      <c r="H18" s="44"/>
      <c r="I18" s="45">
        <v>2</v>
      </c>
      <c r="J18" s="43"/>
      <c r="K18" s="44"/>
      <c r="L18" s="44"/>
      <c r="M18" s="45"/>
      <c r="N18" s="43"/>
      <c r="O18" s="44">
        <f>IF(M19="","",M19)</f>
        <v>7</v>
      </c>
      <c r="P18" s="44"/>
      <c r="Q18" s="45">
        <f>IF(K19="","",K19)</f>
        <v>2</v>
      </c>
      <c r="R18" s="43"/>
      <c r="S18" s="44">
        <f>IF(M20="","",M20)</f>
        <v>12</v>
      </c>
      <c r="T18" s="44"/>
      <c r="U18" s="45">
        <f>IF(K20="","",K20)</f>
        <v>0</v>
      </c>
      <c r="V18" s="43"/>
      <c r="W18" s="44">
        <f>IF(M21="","",M21)</f>
        <v>8</v>
      </c>
      <c r="X18" s="44"/>
      <c r="Y18" s="45">
        <f>IF(K21="","",K21)</f>
        <v>2</v>
      </c>
      <c r="Z18" s="43"/>
      <c r="AA18" s="44">
        <f>IF(M22="","",M22)</f>
        <v>8</v>
      </c>
      <c r="AB18" s="44"/>
      <c r="AC18" s="45">
        <f>IF(K22="","",K22)</f>
        <v>4</v>
      </c>
      <c r="AD18" s="43"/>
      <c r="AE18" s="44">
        <f>IF(M23="","",M23)</f>
        <v>7</v>
      </c>
      <c r="AF18" s="44"/>
      <c r="AG18" s="45">
        <f>IF(K23="","",K23)</f>
        <v>3</v>
      </c>
      <c r="AH18" s="37">
        <f t="shared" si="26"/>
        <v>6</v>
      </c>
      <c r="AI18" s="37">
        <f t="shared" si="27"/>
        <v>1</v>
      </c>
      <c r="AJ18" s="37">
        <f t="shared" si="28"/>
        <v>0</v>
      </c>
      <c r="AK18" s="38">
        <f t="shared" si="29"/>
        <v>12</v>
      </c>
      <c r="AL18" s="39">
        <f t="shared" si="30"/>
        <v>0</v>
      </c>
      <c r="AM18" s="40">
        <f t="shared" si="31"/>
        <v>0</v>
      </c>
      <c r="AN18" s="41">
        <f t="shared" si="32"/>
        <v>12</v>
      </c>
      <c r="AO18" s="37">
        <f t="shared" si="33"/>
        <v>45</v>
      </c>
      <c r="AP18" s="37">
        <f t="shared" si="34"/>
        <v>15</v>
      </c>
      <c r="AQ18" s="42">
        <f t="shared" si="35"/>
        <v>30</v>
      </c>
      <c r="AR18" s="1"/>
      <c r="AS18" s="1"/>
      <c r="AT18" s="49">
        <f>AY18+COUNTIF(AY$15:AY17,AY18)</f>
        <v>1</v>
      </c>
      <c r="AU18" s="51" t="str">
        <f t="shared" si="36"/>
        <v>常盤平ボーイズ</v>
      </c>
      <c r="AV18" s="49">
        <f t="shared" si="25"/>
        <v>12</v>
      </c>
      <c r="AW18" s="49">
        <f t="shared" si="37"/>
        <v>6</v>
      </c>
      <c r="AX18" s="49">
        <f t="shared" si="38"/>
        <v>7</v>
      </c>
      <c r="AY18" s="49">
        <f t="shared" si="39"/>
        <v>1</v>
      </c>
      <c r="AZ18" s="50">
        <f aca="true" t="shared" si="43" ref="AZ18:AZ23">VLOOKUP(ROW(AT3),$AT$16:$AZ$23,6,FALSE)</f>
        <v>3</v>
      </c>
      <c r="BA18" s="52" t="str">
        <f aca="true" t="shared" si="44" ref="BA18:BA23">VLOOKUP(ROW(AT3),$AT$16:$AY$23,2,FALSE)</f>
        <v>高塚新田ラークス</v>
      </c>
      <c r="BB18" s="52">
        <f aca="true" t="shared" si="45" ref="BB18:BB23">VLOOKUP(ROW(AT3),$AT$16:$AY$23,3,FALSE)</f>
        <v>10</v>
      </c>
      <c r="BC18" s="52">
        <f aca="true" t="shared" si="46" ref="BC18:BC23">VLOOKUP(ROW(AT3),$AT$16:$AY$23,4,FALSE)</f>
        <v>5</v>
      </c>
      <c r="BD18" s="52">
        <f aca="true" t="shared" si="47" ref="BD18:BD23">VLOOKUP(ROW(AT3),$AT$16:$AY$23,5,FALSE)</f>
        <v>7</v>
      </c>
      <c r="BE18" s="62"/>
      <c r="BG18" s="49">
        <f>BJ18+COUNTIF(BJ$15:BJ17,BJ18)</f>
        <v>2</v>
      </c>
      <c r="BH18" s="51" t="str">
        <f t="shared" si="40"/>
        <v>常盤平ボーイズ</v>
      </c>
      <c r="BI18" s="49">
        <f t="shared" si="41"/>
        <v>7</v>
      </c>
      <c r="BJ18" s="49">
        <f t="shared" si="42"/>
        <v>1</v>
      </c>
      <c r="BK18" s="50">
        <f aca="true" t="shared" si="48" ref="BK18:BK23">VLOOKUP(ROW(BG3),$BG$16:$BJ$23,4,FALSE)</f>
        <v>1</v>
      </c>
      <c r="BL18" s="52" t="str">
        <f aca="true" t="shared" si="49" ref="BL18:BL23">VLOOKUP(ROW(BH3),$BG$16:$BJ$23,2,FALSE)</f>
        <v>幸房スターズ</v>
      </c>
    </row>
    <row r="19" spans="1:64" ht="19.5" customHeight="1">
      <c r="A19" s="107" t="s">
        <v>90</v>
      </c>
      <c r="B19" s="43"/>
      <c r="C19" s="44">
        <v>4</v>
      </c>
      <c r="D19" s="44"/>
      <c r="E19" s="45">
        <v>1</v>
      </c>
      <c r="F19" s="43"/>
      <c r="G19" s="44">
        <v>6</v>
      </c>
      <c r="H19" s="44"/>
      <c r="I19" s="45">
        <v>10</v>
      </c>
      <c r="J19" s="43"/>
      <c r="K19" s="44">
        <v>2</v>
      </c>
      <c r="L19" s="44"/>
      <c r="M19" s="45">
        <v>7</v>
      </c>
      <c r="N19" s="43"/>
      <c r="O19" s="44"/>
      <c r="P19" s="44"/>
      <c r="Q19" s="45"/>
      <c r="R19" s="43"/>
      <c r="S19" s="44">
        <f>IF(Q20="","",Q20)</f>
        <v>6</v>
      </c>
      <c r="T19" s="44"/>
      <c r="U19" s="45">
        <f>IF(O20="","",O20)</f>
        <v>2</v>
      </c>
      <c r="V19" s="43"/>
      <c r="W19" s="44">
        <f>IF(Q21="","",Q21)</f>
        <v>2</v>
      </c>
      <c r="X19" s="44"/>
      <c r="Y19" s="45">
        <f>IF(O21="","",O21)</f>
        <v>2</v>
      </c>
      <c r="Z19" s="43"/>
      <c r="AA19" s="44">
        <f>IF(Q22="","",Q22)</f>
        <v>1</v>
      </c>
      <c r="AB19" s="44"/>
      <c r="AC19" s="45">
        <f>IF(O22="","",O22)</f>
        <v>7</v>
      </c>
      <c r="AD19" s="43"/>
      <c r="AE19" s="44">
        <f>IF(Q23="","",Q23)</f>
        <v>9</v>
      </c>
      <c r="AF19" s="44"/>
      <c r="AG19" s="45">
        <f>IF(O23="","",O23)</f>
        <v>1</v>
      </c>
      <c r="AH19" s="37">
        <f t="shared" si="26"/>
        <v>3</v>
      </c>
      <c r="AI19" s="37">
        <f t="shared" si="27"/>
        <v>3</v>
      </c>
      <c r="AJ19" s="37">
        <f t="shared" si="28"/>
        <v>1</v>
      </c>
      <c r="AK19" s="38">
        <f t="shared" si="29"/>
        <v>6</v>
      </c>
      <c r="AL19" s="39">
        <f t="shared" si="30"/>
        <v>0</v>
      </c>
      <c r="AM19" s="40">
        <f t="shared" si="31"/>
        <v>1</v>
      </c>
      <c r="AN19" s="41">
        <f t="shared" si="32"/>
        <v>7</v>
      </c>
      <c r="AO19" s="37">
        <f t="shared" si="33"/>
        <v>30</v>
      </c>
      <c r="AP19" s="37">
        <f t="shared" si="34"/>
        <v>30</v>
      </c>
      <c r="AQ19" s="32">
        <f t="shared" si="35"/>
        <v>0</v>
      </c>
      <c r="AR19" s="1"/>
      <c r="AS19" s="1"/>
      <c r="AT19" s="49">
        <f>AY19+COUNTIF(AY$15:AY18,AY19)</f>
        <v>4</v>
      </c>
      <c r="AU19" s="51" t="str">
        <f t="shared" si="36"/>
        <v>幸房スターズ</v>
      </c>
      <c r="AV19" s="49">
        <f t="shared" si="25"/>
        <v>7</v>
      </c>
      <c r="AW19" s="49">
        <f t="shared" si="37"/>
        <v>3</v>
      </c>
      <c r="AX19" s="49">
        <f t="shared" si="38"/>
        <v>7</v>
      </c>
      <c r="AY19" s="49">
        <f t="shared" si="39"/>
        <v>4</v>
      </c>
      <c r="AZ19" s="50">
        <f t="shared" si="43"/>
        <v>4</v>
      </c>
      <c r="BA19" s="52" t="str">
        <f t="shared" si="44"/>
        <v>幸房スターズ</v>
      </c>
      <c r="BB19" s="52">
        <f t="shared" si="45"/>
        <v>7</v>
      </c>
      <c r="BC19" s="52">
        <f t="shared" si="46"/>
        <v>3</v>
      </c>
      <c r="BD19" s="52">
        <f t="shared" si="47"/>
        <v>7</v>
      </c>
      <c r="BE19" s="62"/>
      <c r="BG19" s="49">
        <f>BJ19+COUNTIF(BJ$15:BJ18,BJ19)</f>
        <v>3</v>
      </c>
      <c r="BH19" s="51" t="str">
        <f t="shared" si="40"/>
        <v>幸房スターズ</v>
      </c>
      <c r="BI19" s="49">
        <f t="shared" si="41"/>
        <v>7</v>
      </c>
      <c r="BJ19" s="49">
        <f t="shared" si="42"/>
        <v>1</v>
      </c>
      <c r="BK19" s="50">
        <f t="shared" si="48"/>
        <v>1</v>
      </c>
      <c r="BL19" s="52" t="str">
        <f t="shared" si="49"/>
        <v>増尾レッドスターズ</v>
      </c>
    </row>
    <row r="20" spans="1:64" ht="19.5" customHeight="1">
      <c r="A20" s="107" t="s">
        <v>91</v>
      </c>
      <c r="B20" s="43"/>
      <c r="C20" s="44"/>
      <c r="D20" s="44"/>
      <c r="E20" s="45"/>
      <c r="F20" s="43"/>
      <c r="G20" s="44">
        <v>2</v>
      </c>
      <c r="H20" s="44"/>
      <c r="I20" s="45">
        <v>11</v>
      </c>
      <c r="J20" s="43"/>
      <c r="K20" s="44">
        <v>0</v>
      </c>
      <c r="L20" s="44"/>
      <c r="M20" s="45">
        <v>12</v>
      </c>
      <c r="N20" s="43"/>
      <c r="O20" s="44">
        <v>2</v>
      </c>
      <c r="P20" s="44"/>
      <c r="Q20" s="45">
        <v>6</v>
      </c>
      <c r="R20" s="43"/>
      <c r="S20" s="44"/>
      <c r="T20" s="44"/>
      <c r="U20" s="45"/>
      <c r="V20" s="43"/>
      <c r="W20" s="44">
        <f>IF(U21="","",U21)</f>
        <v>9</v>
      </c>
      <c r="X20" s="44"/>
      <c r="Y20" s="45">
        <f>IF(S21="","",S21)</f>
        <v>7</v>
      </c>
      <c r="Z20" s="43"/>
      <c r="AA20" s="44">
        <f>IF(U22="","",U22)</f>
        <v>1</v>
      </c>
      <c r="AB20" s="44"/>
      <c r="AC20" s="45">
        <f>IF(S22="","",S22)</f>
        <v>4</v>
      </c>
      <c r="AD20" s="43"/>
      <c r="AE20" s="44">
        <f>IF(U23="","",U23)</f>
      </c>
      <c r="AF20" s="44"/>
      <c r="AG20" s="45">
        <f>IF(S23="","",S23)</f>
      </c>
      <c r="AH20" s="37">
        <f t="shared" si="26"/>
        <v>1</v>
      </c>
      <c r="AI20" s="37">
        <f t="shared" si="27"/>
        <v>4</v>
      </c>
      <c r="AJ20" s="37">
        <f t="shared" si="28"/>
        <v>0</v>
      </c>
      <c r="AK20" s="38">
        <f t="shared" si="29"/>
        <v>2</v>
      </c>
      <c r="AL20" s="39">
        <f t="shared" si="30"/>
        <v>0</v>
      </c>
      <c r="AM20" s="40">
        <f t="shared" si="31"/>
        <v>0</v>
      </c>
      <c r="AN20" s="41">
        <f t="shared" si="32"/>
        <v>2</v>
      </c>
      <c r="AO20" s="37">
        <f t="shared" si="33"/>
        <v>14</v>
      </c>
      <c r="AP20" s="37">
        <f t="shared" si="34"/>
        <v>40</v>
      </c>
      <c r="AQ20" s="32">
        <f t="shared" si="35"/>
        <v>-26</v>
      </c>
      <c r="AR20" s="1"/>
      <c r="AS20" s="1"/>
      <c r="AT20" s="49">
        <f>AY20+COUNTIF(AY$15:AY19,AY20)</f>
        <v>6</v>
      </c>
      <c r="AU20" s="51" t="str">
        <f t="shared" si="36"/>
        <v>清水口ファイターズ</v>
      </c>
      <c r="AV20" s="49">
        <f t="shared" si="25"/>
        <v>2</v>
      </c>
      <c r="AW20" s="49">
        <f t="shared" si="37"/>
        <v>1</v>
      </c>
      <c r="AX20" s="49">
        <f t="shared" si="38"/>
        <v>5</v>
      </c>
      <c r="AY20" s="49">
        <f t="shared" si="39"/>
        <v>6</v>
      </c>
      <c r="AZ20" s="50">
        <f t="shared" si="43"/>
        <v>5</v>
      </c>
      <c r="BA20" s="52" t="str">
        <f t="shared" si="44"/>
        <v>松戸カージナルス</v>
      </c>
      <c r="BB20" s="52">
        <f t="shared" si="45"/>
        <v>6</v>
      </c>
      <c r="BC20" s="52">
        <f t="shared" si="46"/>
        <v>3</v>
      </c>
      <c r="BD20" s="52">
        <f t="shared" si="47"/>
        <v>6</v>
      </c>
      <c r="BE20" s="62"/>
      <c r="BG20" s="49">
        <f>BJ20+COUNTIF(BJ$15:BJ19,BJ20)</f>
        <v>7</v>
      </c>
      <c r="BH20" s="51" t="str">
        <f t="shared" si="40"/>
        <v>清水口ファイターズ</v>
      </c>
      <c r="BI20" s="49">
        <f t="shared" si="41"/>
        <v>5</v>
      </c>
      <c r="BJ20" s="49">
        <f t="shared" si="42"/>
        <v>7</v>
      </c>
      <c r="BK20" s="50">
        <f t="shared" si="48"/>
        <v>5</v>
      </c>
      <c r="BL20" s="52" t="str">
        <f t="shared" si="49"/>
        <v>松戸カージナルス</v>
      </c>
    </row>
    <row r="21" spans="1:64" ht="19.5" customHeight="1">
      <c r="A21" s="107" t="s">
        <v>92</v>
      </c>
      <c r="B21" s="43"/>
      <c r="C21" s="44">
        <v>2</v>
      </c>
      <c r="D21" s="44"/>
      <c r="E21" s="45">
        <v>11</v>
      </c>
      <c r="F21" s="43"/>
      <c r="G21" s="44">
        <v>4</v>
      </c>
      <c r="H21" s="44"/>
      <c r="I21" s="45">
        <v>11</v>
      </c>
      <c r="J21" s="43"/>
      <c r="K21" s="44">
        <v>2</v>
      </c>
      <c r="L21" s="44"/>
      <c r="M21" s="45">
        <v>8</v>
      </c>
      <c r="N21" s="43"/>
      <c r="O21" s="44">
        <v>2</v>
      </c>
      <c r="P21" s="44"/>
      <c r="Q21" s="45">
        <v>2</v>
      </c>
      <c r="R21" s="43"/>
      <c r="S21" s="44">
        <v>7</v>
      </c>
      <c r="T21" s="44"/>
      <c r="U21" s="45">
        <v>9</v>
      </c>
      <c r="V21" s="43"/>
      <c r="W21" s="44"/>
      <c r="X21" s="44"/>
      <c r="Y21" s="45"/>
      <c r="Z21" s="43"/>
      <c r="AA21" s="44">
        <f>IF(Y22="","",Y22)</f>
        <v>2</v>
      </c>
      <c r="AB21" s="44"/>
      <c r="AC21" s="45">
        <f>IF(W22="","",W22)</f>
        <v>4</v>
      </c>
      <c r="AD21" s="43"/>
      <c r="AE21" s="44">
        <f>IF(Y23="","",Y23)</f>
      </c>
      <c r="AF21" s="44"/>
      <c r="AG21" s="45">
        <f>IF(W23="","",W23)</f>
      </c>
      <c r="AH21" s="37">
        <f t="shared" si="26"/>
        <v>0</v>
      </c>
      <c r="AI21" s="37">
        <f t="shared" si="27"/>
        <v>5</v>
      </c>
      <c r="AJ21" s="37">
        <f t="shared" si="28"/>
        <v>1</v>
      </c>
      <c r="AK21" s="38">
        <f t="shared" si="29"/>
        <v>0</v>
      </c>
      <c r="AL21" s="39">
        <f t="shared" si="30"/>
        <v>0</v>
      </c>
      <c r="AM21" s="40">
        <f t="shared" si="31"/>
        <v>1</v>
      </c>
      <c r="AN21" s="41">
        <f t="shared" si="32"/>
        <v>1</v>
      </c>
      <c r="AO21" s="37">
        <f t="shared" si="33"/>
        <v>19</v>
      </c>
      <c r="AP21" s="37">
        <f t="shared" si="34"/>
        <v>45</v>
      </c>
      <c r="AQ21" s="37">
        <f t="shared" si="35"/>
        <v>-26</v>
      </c>
      <c r="AR21" s="1"/>
      <c r="AS21" s="1"/>
      <c r="AT21" s="49">
        <f>AY21+COUNTIF(AY$15:AY20,AY21)</f>
        <v>7</v>
      </c>
      <c r="AU21" s="51" t="str">
        <f t="shared" si="36"/>
        <v>大津が丘ファイターズ</v>
      </c>
      <c r="AV21" s="49">
        <f t="shared" si="25"/>
        <v>1</v>
      </c>
      <c r="AW21" s="49">
        <f t="shared" si="37"/>
        <v>0</v>
      </c>
      <c r="AX21" s="49">
        <f t="shared" si="38"/>
        <v>6</v>
      </c>
      <c r="AY21" s="49">
        <f t="shared" si="39"/>
        <v>7</v>
      </c>
      <c r="AZ21" s="50">
        <f t="shared" si="43"/>
        <v>6</v>
      </c>
      <c r="BA21" s="52" t="str">
        <f t="shared" si="44"/>
        <v>清水口ファイターズ</v>
      </c>
      <c r="BB21" s="52">
        <f t="shared" si="45"/>
        <v>2</v>
      </c>
      <c r="BC21" s="52">
        <f t="shared" si="46"/>
        <v>1</v>
      </c>
      <c r="BD21" s="52">
        <f t="shared" si="47"/>
        <v>5</v>
      </c>
      <c r="BE21" s="62"/>
      <c r="BG21" s="49">
        <f>BJ21+COUNTIF(BJ$15:BJ20,BJ21)</f>
        <v>6</v>
      </c>
      <c r="BH21" s="51" t="str">
        <f t="shared" si="40"/>
        <v>大津が丘ファイターズ</v>
      </c>
      <c r="BI21" s="49">
        <f t="shared" si="41"/>
        <v>6</v>
      </c>
      <c r="BJ21" s="49">
        <f t="shared" si="42"/>
        <v>5</v>
      </c>
      <c r="BK21" s="50">
        <f t="shared" si="48"/>
        <v>5</v>
      </c>
      <c r="BL21" s="52" t="str">
        <f t="shared" si="49"/>
        <v>大津が丘ファイターズ</v>
      </c>
    </row>
    <row r="22" spans="1:64" ht="19.5" customHeight="1">
      <c r="A22" s="107" t="s">
        <v>93</v>
      </c>
      <c r="B22" s="43"/>
      <c r="C22" s="44">
        <v>7</v>
      </c>
      <c r="D22" s="44"/>
      <c r="E22" s="45">
        <v>1</v>
      </c>
      <c r="F22" s="43"/>
      <c r="G22" s="44">
        <v>2</v>
      </c>
      <c r="H22" s="44"/>
      <c r="I22" s="45">
        <v>1</v>
      </c>
      <c r="J22" s="43"/>
      <c r="K22" s="44">
        <v>4</v>
      </c>
      <c r="L22" s="44"/>
      <c r="M22" s="45">
        <v>8</v>
      </c>
      <c r="N22" s="43"/>
      <c r="O22" s="44">
        <v>7</v>
      </c>
      <c r="P22" s="44"/>
      <c r="Q22" s="45">
        <v>1</v>
      </c>
      <c r="R22" s="43"/>
      <c r="S22" s="44">
        <v>4</v>
      </c>
      <c r="T22" s="44"/>
      <c r="U22" s="45">
        <v>1</v>
      </c>
      <c r="V22" s="43"/>
      <c r="W22" s="44">
        <v>4</v>
      </c>
      <c r="X22" s="44"/>
      <c r="Y22" s="45">
        <v>2</v>
      </c>
      <c r="Z22" s="43"/>
      <c r="AA22" s="44"/>
      <c r="AB22" s="44"/>
      <c r="AC22" s="45"/>
      <c r="AD22" s="43"/>
      <c r="AE22" s="44">
        <f>IF(AC23="","",AC23)</f>
        <v>0</v>
      </c>
      <c r="AF22" s="44"/>
      <c r="AG22" s="45">
        <f>IF(AA23="","",AA23)</f>
        <v>0</v>
      </c>
      <c r="AH22" s="37">
        <f t="shared" si="26"/>
        <v>5</v>
      </c>
      <c r="AI22" s="37">
        <f t="shared" si="27"/>
        <v>1</v>
      </c>
      <c r="AJ22" s="37">
        <f t="shared" si="28"/>
        <v>1</v>
      </c>
      <c r="AK22" s="38">
        <f t="shared" si="29"/>
        <v>10</v>
      </c>
      <c r="AL22" s="39">
        <f t="shared" si="30"/>
        <v>0</v>
      </c>
      <c r="AM22" s="40">
        <f t="shared" si="31"/>
        <v>1</v>
      </c>
      <c r="AN22" s="41">
        <f t="shared" si="32"/>
        <v>11</v>
      </c>
      <c r="AO22" s="37">
        <f t="shared" si="33"/>
        <v>28</v>
      </c>
      <c r="AP22" s="37">
        <f t="shared" si="34"/>
        <v>14</v>
      </c>
      <c r="AQ22" s="37">
        <f t="shared" si="35"/>
        <v>14</v>
      </c>
      <c r="AR22" s="1"/>
      <c r="AS22" s="1"/>
      <c r="AT22" s="49">
        <f>AY22+COUNTIF(AY$15:AY21,AY22)</f>
        <v>2</v>
      </c>
      <c r="AU22" s="51" t="str">
        <f t="shared" si="36"/>
        <v>増尾レッドスターズ</v>
      </c>
      <c r="AV22" s="49">
        <f t="shared" si="25"/>
        <v>11</v>
      </c>
      <c r="AW22" s="49">
        <f t="shared" si="37"/>
        <v>5</v>
      </c>
      <c r="AX22" s="49">
        <f t="shared" si="38"/>
        <v>7</v>
      </c>
      <c r="AY22" s="49">
        <f t="shared" si="39"/>
        <v>2</v>
      </c>
      <c r="AZ22" s="50">
        <f t="shared" si="43"/>
        <v>7</v>
      </c>
      <c r="BA22" s="52" t="str">
        <f t="shared" si="44"/>
        <v>大津が丘ファイターズ</v>
      </c>
      <c r="BB22" s="52">
        <f t="shared" si="45"/>
        <v>1</v>
      </c>
      <c r="BC22" s="52">
        <f t="shared" si="46"/>
        <v>0</v>
      </c>
      <c r="BD22" s="52">
        <f t="shared" si="47"/>
        <v>6</v>
      </c>
      <c r="BE22" s="62"/>
      <c r="BG22" s="49">
        <f>BJ22+COUNTIF(BJ$15:BJ21,BJ22)</f>
        <v>4</v>
      </c>
      <c r="BH22" s="51" t="str">
        <f t="shared" si="40"/>
        <v>増尾レッドスターズ</v>
      </c>
      <c r="BI22" s="49">
        <f t="shared" si="41"/>
        <v>7</v>
      </c>
      <c r="BJ22" s="49">
        <f t="shared" si="42"/>
        <v>1</v>
      </c>
      <c r="BK22" s="50">
        <f t="shared" si="48"/>
        <v>7</v>
      </c>
      <c r="BL22" s="52" t="str">
        <f t="shared" si="49"/>
        <v>清水口ファイターズ</v>
      </c>
    </row>
    <row r="23" spans="1:64" ht="19.5" customHeight="1">
      <c r="A23" s="107" t="s">
        <v>94</v>
      </c>
      <c r="B23" s="43"/>
      <c r="C23" s="44">
        <v>0</v>
      </c>
      <c r="D23" s="44"/>
      <c r="E23" s="45">
        <v>13</v>
      </c>
      <c r="F23" s="43"/>
      <c r="G23" s="44">
        <v>3</v>
      </c>
      <c r="H23" s="44"/>
      <c r="I23" s="45">
        <v>10</v>
      </c>
      <c r="J23" s="43"/>
      <c r="K23" s="44">
        <v>3</v>
      </c>
      <c r="L23" s="44"/>
      <c r="M23" s="45">
        <v>7</v>
      </c>
      <c r="N23" s="43"/>
      <c r="O23" s="44">
        <v>1</v>
      </c>
      <c r="P23" s="44"/>
      <c r="Q23" s="45">
        <v>9</v>
      </c>
      <c r="R23" s="43"/>
      <c r="S23" s="44"/>
      <c r="T23" s="44"/>
      <c r="U23" s="45"/>
      <c r="V23" s="43"/>
      <c r="W23" s="44"/>
      <c r="X23" s="44"/>
      <c r="Y23" s="45"/>
      <c r="Z23" s="43"/>
      <c r="AA23" s="44">
        <v>0</v>
      </c>
      <c r="AB23" s="44"/>
      <c r="AC23" s="45">
        <v>0</v>
      </c>
      <c r="AD23" s="43"/>
      <c r="AE23" s="44"/>
      <c r="AF23" s="44"/>
      <c r="AG23" s="45"/>
      <c r="AH23" s="37">
        <f t="shared" si="26"/>
        <v>0</v>
      </c>
      <c r="AI23" s="37">
        <f t="shared" si="27"/>
        <v>4</v>
      </c>
      <c r="AJ23" s="37">
        <f t="shared" si="28"/>
        <v>1</v>
      </c>
      <c r="AK23" s="38">
        <f t="shared" si="29"/>
        <v>0</v>
      </c>
      <c r="AL23" s="39">
        <f t="shared" si="30"/>
        <v>0</v>
      </c>
      <c r="AM23" s="40">
        <f t="shared" si="31"/>
        <v>1</v>
      </c>
      <c r="AN23" s="41">
        <f t="shared" si="32"/>
        <v>1</v>
      </c>
      <c r="AO23" s="37">
        <f t="shared" si="33"/>
        <v>7</v>
      </c>
      <c r="AP23" s="37">
        <f t="shared" si="34"/>
        <v>39</v>
      </c>
      <c r="AQ23" s="37">
        <f>AO23-AP23</f>
        <v>-32</v>
      </c>
      <c r="AR23" s="1"/>
      <c r="AS23" s="1"/>
      <c r="AT23" s="49">
        <f>AY23+COUNTIF(AY$15:AY22,AY23)</f>
        <v>8</v>
      </c>
      <c r="AU23" s="51" t="str">
        <f t="shared" si="36"/>
        <v>リトルジャガース</v>
      </c>
      <c r="AV23" s="49">
        <f t="shared" si="25"/>
        <v>1</v>
      </c>
      <c r="AW23" s="49">
        <f t="shared" si="37"/>
        <v>0</v>
      </c>
      <c r="AX23" s="49">
        <f t="shared" si="38"/>
        <v>5</v>
      </c>
      <c r="AY23" s="49">
        <f t="shared" si="39"/>
        <v>7</v>
      </c>
      <c r="AZ23" s="50">
        <f t="shared" si="43"/>
        <v>7</v>
      </c>
      <c r="BA23" s="52" t="str">
        <f t="shared" si="44"/>
        <v>リトルジャガース</v>
      </c>
      <c r="BB23" s="52">
        <f t="shared" si="45"/>
        <v>1</v>
      </c>
      <c r="BC23" s="52">
        <f t="shared" si="46"/>
        <v>0</v>
      </c>
      <c r="BD23" s="52">
        <f t="shared" si="47"/>
        <v>5</v>
      </c>
      <c r="BE23" s="62"/>
      <c r="BG23" s="49">
        <f>BJ23+COUNTIF(BJ$15:BJ22,BJ23)</f>
        <v>8</v>
      </c>
      <c r="BH23" s="51" t="str">
        <f t="shared" si="40"/>
        <v>リトルジャガース</v>
      </c>
      <c r="BI23" s="49">
        <f t="shared" si="41"/>
        <v>5</v>
      </c>
      <c r="BJ23" s="49">
        <f t="shared" si="42"/>
        <v>7</v>
      </c>
      <c r="BK23" s="50">
        <f t="shared" si="48"/>
        <v>7</v>
      </c>
      <c r="BL23" s="52" t="str">
        <f t="shared" si="49"/>
        <v>リトルジャガース</v>
      </c>
    </row>
    <row r="24" spans="1:64" ht="19.5" customHeight="1">
      <c r="A24" s="93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>
        <f>SUM(AH16:AH23)</f>
        <v>23</v>
      </c>
      <c r="AJ24" s="7">
        <f>SUM(AI16:AI23)</f>
        <v>23</v>
      </c>
      <c r="AK24" s="7">
        <f>SUM(AJ16:AJ23)</f>
        <v>4</v>
      </c>
      <c r="AL24" s="7"/>
      <c r="AM24" s="7"/>
      <c r="AN24" s="1"/>
      <c r="AO24" s="7">
        <f>SUM(AO16:AO23)</f>
        <v>222</v>
      </c>
      <c r="AP24" s="7">
        <f>SUM(AP16:AP23)</f>
        <v>222</v>
      </c>
      <c r="AQ24" s="7">
        <f>SUM(AQ16:AQ23)</f>
        <v>0</v>
      </c>
      <c r="AT24" s="53"/>
      <c r="AU24" s="54"/>
      <c r="AV24" s="53"/>
      <c r="AW24" s="53"/>
      <c r="AX24" s="53"/>
      <c r="AY24" s="53"/>
      <c r="AZ24" s="55"/>
      <c r="BA24" s="56"/>
      <c r="BB24" s="62"/>
      <c r="BC24" s="62"/>
      <c r="BD24" s="62"/>
      <c r="BE24" s="62"/>
      <c r="BF24" s="57"/>
      <c r="BG24" s="53"/>
      <c r="BH24" s="54"/>
      <c r="BI24" s="53">
        <f>SUM(BI16:BI23)/2</f>
        <v>25</v>
      </c>
      <c r="BJ24" s="3">
        <f>7*8/2</f>
        <v>28</v>
      </c>
      <c r="BK24" s="55"/>
      <c r="BL24" s="56"/>
    </row>
    <row r="25" spans="1:47" ht="19.5" customHeight="1">
      <c r="A25" s="4" t="s">
        <v>2</v>
      </c>
      <c r="B25" s="90" t="s">
        <v>71</v>
      </c>
      <c r="C25" s="58"/>
      <c r="D25" s="58"/>
      <c r="E25" s="58"/>
      <c r="F25" s="58"/>
      <c r="G25" s="158" t="str">
        <f>"１日"&amp;ROUND((BJ35-BI35)/'戦績'!N42,1)&amp;"試合"</f>
        <v>１日0.3試合</v>
      </c>
      <c r="H25" s="158"/>
      <c r="I25" s="158"/>
      <c r="J25" s="158"/>
      <c r="K25" s="153" t="s">
        <v>29</v>
      </c>
      <c r="L25" s="153"/>
      <c r="M25" s="153"/>
      <c r="N25" s="153"/>
      <c r="O25" s="159" t="str">
        <f>IF(C83&gt;C82,+BA27,"")</f>
        <v>若草</v>
      </c>
      <c r="P25" s="159"/>
      <c r="Q25" s="159"/>
      <c r="R25" s="159"/>
      <c r="S25" s="159"/>
      <c r="T25" s="59"/>
      <c r="U25" s="153" t="s">
        <v>26</v>
      </c>
      <c r="V25" s="153"/>
      <c r="W25" s="153"/>
      <c r="X25" s="153"/>
      <c r="Y25" s="154" t="str">
        <f>IF(C83&gt;C82,+BA28,"")</f>
        <v>ヤングスターズ</v>
      </c>
      <c r="Z25" s="154"/>
      <c r="AA25" s="154"/>
      <c r="AB25" s="154"/>
      <c r="AC25" s="154"/>
      <c r="AD25" s="154"/>
      <c r="AE25" s="1"/>
      <c r="AF25" s="61" t="s">
        <v>30</v>
      </c>
      <c r="AG25" s="1"/>
      <c r="AH25" s="1"/>
      <c r="AI25" s="1"/>
      <c r="AJ25" s="151">
        <f>+BI35/(MAX(AT27:AT34)*(MAX(AT27:AT34)-1)/2)</f>
        <v>0.9642857142857143</v>
      </c>
      <c r="AK25" s="151"/>
      <c r="AL25" s="67">
        <f>IF(AI24=AJ24,"","計算間違い")</f>
      </c>
      <c r="AM25" s="1"/>
      <c r="AN25" s="1"/>
      <c r="AO25" s="1"/>
      <c r="AP25" s="67">
        <f>IF(AK24/2=TRUNC(AK24/2,0),"","計算間違い")</f>
      </c>
      <c r="AQ25" s="1"/>
      <c r="AR25" s="1"/>
      <c r="AS25" s="1"/>
      <c r="AT25" s="1"/>
      <c r="AU25" s="1"/>
    </row>
    <row r="26" spans="1:61" ht="19.5" customHeight="1">
      <c r="A26" s="85"/>
      <c r="B26" s="152" t="str">
        <f>+A27</f>
        <v>リトルベアーズ</v>
      </c>
      <c r="C26" s="152"/>
      <c r="D26" s="152"/>
      <c r="E26" s="152"/>
      <c r="F26" s="152" t="str">
        <f>+A28</f>
        <v>五香メッツ</v>
      </c>
      <c r="G26" s="152"/>
      <c r="H26" s="152"/>
      <c r="I26" s="152"/>
      <c r="J26" s="152" t="str">
        <f>+A29</f>
        <v>ヤングスターズ</v>
      </c>
      <c r="K26" s="152"/>
      <c r="L26" s="152"/>
      <c r="M26" s="152"/>
      <c r="N26" s="152" t="str">
        <f>+A30</f>
        <v>大和田レッズ</v>
      </c>
      <c r="O26" s="152"/>
      <c r="P26" s="152"/>
      <c r="Q26" s="152"/>
      <c r="R26" s="152" t="str">
        <f>+A31</f>
        <v>梅郷パワーズ</v>
      </c>
      <c r="S26" s="152"/>
      <c r="T26" s="152"/>
      <c r="U26" s="152"/>
      <c r="V26" s="152" t="str">
        <f>+A32</f>
        <v>新柏ツィンズ</v>
      </c>
      <c r="W26" s="152"/>
      <c r="X26" s="152"/>
      <c r="Y26" s="152"/>
      <c r="Z26" s="152" t="str">
        <f>+A33</f>
        <v>若草</v>
      </c>
      <c r="AA26" s="152"/>
      <c r="AB26" s="152"/>
      <c r="AC26" s="152"/>
      <c r="AD26" s="155" t="str">
        <f>+A34</f>
        <v>リトルイーグルス</v>
      </c>
      <c r="AE26" s="156"/>
      <c r="AF26" s="156"/>
      <c r="AG26" s="157"/>
      <c r="AH26" s="32" t="s">
        <v>7</v>
      </c>
      <c r="AI26" s="32" t="s">
        <v>8</v>
      </c>
      <c r="AJ26" s="32" t="s">
        <v>9</v>
      </c>
      <c r="AK26" s="33" t="s">
        <v>14</v>
      </c>
      <c r="AL26" s="34" t="s">
        <v>15</v>
      </c>
      <c r="AM26" s="35" t="s">
        <v>16</v>
      </c>
      <c r="AN26" s="36" t="s">
        <v>10</v>
      </c>
      <c r="AO26" s="32" t="s">
        <v>11</v>
      </c>
      <c r="AP26" s="32" t="s">
        <v>12</v>
      </c>
      <c r="AQ26" s="32" t="s">
        <v>13</v>
      </c>
      <c r="AR26" s="1"/>
      <c r="AS26" s="1"/>
      <c r="AU26" s="3" t="s">
        <v>21</v>
      </c>
      <c r="AV26" s="3" t="s">
        <v>22</v>
      </c>
      <c r="BH26" s="3" t="s">
        <v>21</v>
      </c>
      <c r="BI26" s="3" t="s">
        <v>23</v>
      </c>
    </row>
    <row r="27" spans="1:64" ht="19.5" customHeight="1">
      <c r="A27" s="107" t="s">
        <v>95</v>
      </c>
      <c r="B27" s="43"/>
      <c r="C27" s="44"/>
      <c r="D27" s="44"/>
      <c r="E27" s="45"/>
      <c r="F27" s="43"/>
      <c r="G27" s="44">
        <f>IF(E28="","",E28)</f>
        <v>1</v>
      </c>
      <c r="H27" s="44"/>
      <c r="I27" s="45">
        <f>IF(C28="","",C28)</f>
        <v>18</v>
      </c>
      <c r="J27" s="43"/>
      <c r="K27" s="44">
        <f>IF(E29="","",E29)</f>
        <v>1</v>
      </c>
      <c r="L27" s="44"/>
      <c r="M27" s="45">
        <f>IF(C29="","",C29)</f>
        <v>12</v>
      </c>
      <c r="N27" s="43"/>
      <c r="O27" s="44">
        <f>IF(E30="","",E30)</f>
        <v>13</v>
      </c>
      <c r="P27" s="44"/>
      <c r="Q27" s="45">
        <f>IF(C30="","",C30)</f>
        <v>3</v>
      </c>
      <c r="R27" s="43"/>
      <c r="S27" s="44">
        <f>IF(E31="","",E31)</f>
        <v>4</v>
      </c>
      <c r="T27" s="44"/>
      <c r="U27" s="45">
        <f>IF(C31="","",C31)</f>
        <v>4</v>
      </c>
      <c r="V27" s="43"/>
      <c r="W27" s="44">
        <f>IF(E32="","",E32)</f>
        <v>3</v>
      </c>
      <c r="X27" s="44"/>
      <c r="Y27" s="45">
        <f>IF(C32="","",C32)</f>
        <v>4</v>
      </c>
      <c r="Z27" s="43"/>
      <c r="AA27" s="44">
        <f>IF(E33="","",E33)</f>
        <v>1</v>
      </c>
      <c r="AB27" s="44"/>
      <c r="AC27" s="45">
        <f>IF(C33="","",C33)</f>
        <v>11</v>
      </c>
      <c r="AD27" s="43"/>
      <c r="AE27" s="44">
        <f>IF(E34="","",E34)</f>
        <v>5</v>
      </c>
      <c r="AF27" s="44"/>
      <c r="AG27" s="45">
        <f>IF(C34="","",C34)</f>
        <v>7</v>
      </c>
      <c r="AH27" s="37">
        <f>IF(C27&gt;E27,1,0)+IF(G27&gt;I27,1,0)+IF(K27&gt;M27,1,0)+IF(O27&gt;Q27,1,0)+IF(S27&gt;U27,1,0)+IF(W27&gt;Y27,1,0)+IF(AA27&gt;AC27,1,0)+IF(AE27&gt;AG27,1,0)</f>
        <v>1</v>
      </c>
      <c r="AI27" s="37">
        <f>IF(C27&lt;E27,1,0)+IF(G27&lt;I27,1,0)+IF(K27&lt;M27,1,0)+IF(O27&lt;Q27,1,0)+IF(S27&lt;U27,1,0)+IF(W27&lt;Y27,1,0)+IF(AA27&lt;AC27,1,0)+IF(AE27&lt;AG27,1,0)</f>
        <v>5</v>
      </c>
      <c r="AJ27" s="37">
        <f>IF(AND(ISNUMBER(C27),C27=E27),1,0)+IF(AND(ISNUMBER(G27),G27=I27),1,0)+IF(AND(ISNUMBER(K27),K27=M27),1,)+IF(AND(ISNUMBER(O27),O27=Q27),1,0)+IF(AND(ISNUMBER(S27),S27=U27),1,0)+IF(AND(ISNUMBER(W27),W27=Y27),1,0)+IF(AND(ISNUMBER(AA27),AA27=AC27),1,0)+IF(AND(ISNUMBER(AE27),AE27=AG27),1,0)</f>
        <v>1</v>
      </c>
      <c r="AK27" s="38">
        <f>AH27*2</f>
        <v>2</v>
      </c>
      <c r="AL27" s="39">
        <f>AI27*0</f>
        <v>0</v>
      </c>
      <c r="AM27" s="40">
        <f>AJ27*1</f>
        <v>1</v>
      </c>
      <c r="AN27" s="41">
        <f>AK27+AL27+AM27</f>
        <v>3</v>
      </c>
      <c r="AO27" s="37">
        <f>IF(ISNUMBER(G27),G27,0)+IF(ISNUMBER(K27),K27,0)+IF(ISNUMBER(O27),O27,0)+IF(ISNUMBER(AA27),AA27,0)+IF(ISNUMBER(AE27),AE27,0)+IF(ISNUMBER(S27),S27,0)+IF(ISNUMBER(W27),W27,0)+IF(ISNUMBER(C27),C27,0)</f>
        <v>28</v>
      </c>
      <c r="AP27" s="37">
        <f>IF(ISNUMBER(I27),I27,0)+IF(ISNUMBER(M27),M27,0)+IF(ISNUMBER(Q27),Q27,0)+IF(ISNUMBER(AC27),AC27,0)+IF(ISNUMBER(AG27),AG27,0)+IF(ISNUMBER(U27),U27,0)+IF(ISNUMBER(Y27),Y27,0)+IF(ISNUMBER(E27),E27,0)</f>
        <v>59</v>
      </c>
      <c r="AQ27" s="37">
        <f aca="true" t="shared" si="50" ref="AQ27:AQ33">AO27-AP27</f>
        <v>-31</v>
      </c>
      <c r="AR27" s="1"/>
      <c r="AS27" s="1"/>
      <c r="AT27" s="49">
        <f>AY27+COUNTIF(AY$26:AY26,AY27)</f>
        <v>6</v>
      </c>
      <c r="AU27" s="51" t="str">
        <f>+A27</f>
        <v>リトルベアーズ</v>
      </c>
      <c r="AV27" s="49">
        <f aca="true" t="shared" si="51" ref="AV27:AV34">+AN27</f>
        <v>3</v>
      </c>
      <c r="AW27" s="49">
        <f>+AH27</f>
        <v>1</v>
      </c>
      <c r="AX27" s="49">
        <f>+AH27+AI27+AJ27</f>
        <v>7</v>
      </c>
      <c r="AY27" s="49">
        <f>RANK(AV27,AV$27:AV$34)</f>
        <v>6</v>
      </c>
      <c r="AZ27" s="50">
        <f>VLOOKUP(ROW(AX1),$AT$27:$AZ$34,6,FALSE)</f>
        <v>1</v>
      </c>
      <c r="BA27" s="52" t="str">
        <f>VLOOKUP(ROW(AX1),$AT$27:$AY$34,2,FALSE)</f>
        <v>若草</v>
      </c>
      <c r="BB27" s="52">
        <f>VLOOKUP(ROW(AX1),$AT$27:$AY$34,3,FALSE)</f>
        <v>14</v>
      </c>
      <c r="BC27" s="52">
        <f>VLOOKUP(ROW(AX1),$AT$27:$AY$34,4,FALSE)</f>
        <v>7</v>
      </c>
      <c r="BD27" s="52">
        <f>VLOOKUP(ROW(AX1),$AT$27:$AY$34,5,FALSE)</f>
        <v>7</v>
      </c>
      <c r="BE27" s="62"/>
      <c r="BG27" s="49">
        <f>BJ27+COUNTIF(BJ$26:BJ26,BJ27)</f>
        <v>1</v>
      </c>
      <c r="BH27" s="51" t="str">
        <f>+AU27</f>
        <v>リトルベアーズ</v>
      </c>
      <c r="BI27" s="49">
        <f aca="true" t="shared" si="52" ref="BI27:BI34">COUNT(B27:AG27)/2</f>
        <v>7</v>
      </c>
      <c r="BJ27" s="49">
        <f>RANK(BI27,BI$27:BI$34)</f>
        <v>1</v>
      </c>
      <c r="BK27" s="50">
        <f>VLOOKUP(ROW(BK1),$BG$27:$BJ$34,4,FALSE)</f>
        <v>1</v>
      </c>
      <c r="BL27" s="52" t="str">
        <f>VLOOKUP(ROW(BL1),$BG$27:$BJ$34,2,FALSE)</f>
        <v>リトルベアーズ</v>
      </c>
    </row>
    <row r="28" spans="1:64" ht="19.5" customHeight="1">
      <c r="A28" s="107" t="s">
        <v>96</v>
      </c>
      <c r="B28" s="43"/>
      <c r="C28" s="44">
        <v>18</v>
      </c>
      <c r="D28" s="44"/>
      <c r="E28" s="45">
        <v>1</v>
      </c>
      <c r="F28" s="43"/>
      <c r="G28" s="44"/>
      <c r="H28" s="44"/>
      <c r="I28" s="45"/>
      <c r="J28" s="43"/>
      <c r="K28" s="44">
        <f>IF(I29="","",I29)</f>
        <v>9</v>
      </c>
      <c r="L28" s="44"/>
      <c r="M28" s="45">
        <f>IF(G29="","",G29)</f>
        <v>10</v>
      </c>
      <c r="N28" s="43"/>
      <c r="O28" s="44">
        <f>IF(I30="","",I30)</f>
      </c>
      <c r="P28" s="44"/>
      <c r="Q28" s="45">
        <f>IF(G30="","",G30)</f>
      </c>
      <c r="R28" s="43"/>
      <c r="S28" s="44">
        <f>IF(I31="","",I31)</f>
        <v>14</v>
      </c>
      <c r="T28" s="44"/>
      <c r="U28" s="45">
        <f>IF(G31="","",G31)</f>
        <v>0</v>
      </c>
      <c r="V28" s="43"/>
      <c r="W28" s="44">
        <f>IF(I32="","",I32)</f>
        <v>24</v>
      </c>
      <c r="X28" s="44"/>
      <c r="Y28" s="45">
        <f>IF(G32="","",G32)</f>
        <v>1</v>
      </c>
      <c r="Z28" s="43"/>
      <c r="AA28" s="44">
        <f>IF(I33="","",I33)</f>
        <v>1</v>
      </c>
      <c r="AB28" s="44"/>
      <c r="AC28" s="45">
        <f>IF(G33="","",G33)</f>
        <v>5</v>
      </c>
      <c r="AD28" s="43"/>
      <c r="AE28" s="44">
        <f>IF(I34="","",I34)</f>
        <v>14</v>
      </c>
      <c r="AF28" s="44"/>
      <c r="AG28" s="45">
        <f>IF(G34="","",G34)</f>
        <v>0</v>
      </c>
      <c r="AH28" s="37">
        <f aca="true" t="shared" si="53" ref="AH28:AH34">IF(C28&gt;E28,1,0)+IF(G28&gt;I28,1,0)+IF(K28&gt;M28,1,0)+IF(O28&gt;Q28,1,0)+IF(S28&gt;U28,1,0)+IF(W28&gt;Y28,1,0)+IF(AA28&gt;AC28,1,0)+IF(AE28&gt;AG28,1,0)</f>
        <v>4</v>
      </c>
      <c r="AI28" s="37">
        <f aca="true" t="shared" si="54" ref="AI28:AI34">IF(C28&lt;E28,1,0)+IF(G28&lt;I28,1,0)+IF(K28&lt;M28,1,0)+IF(O28&lt;Q28,1,0)+IF(S28&lt;U28,1,0)+IF(W28&lt;Y28,1,0)+IF(AA28&lt;AC28,1,0)+IF(AE28&lt;AG28,1,0)</f>
        <v>2</v>
      </c>
      <c r="AJ28" s="37">
        <f aca="true" t="shared" si="55" ref="AJ28:AJ34">IF(AND(ISNUMBER(C28),C28=E28),1,0)+IF(AND(ISNUMBER(G28),G28=I28),1,0)+IF(AND(ISNUMBER(K28),K28=M28),1,)+IF(AND(ISNUMBER(O28),O28=Q28),1,0)+IF(AND(ISNUMBER(S28),S28=U28),1,0)+IF(AND(ISNUMBER(W28),W28=Y28),1,0)+IF(AND(ISNUMBER(AA28),AA28=AC28),1,0)+IF(AND(ISNUMBER(AE28),AE28=AG28),1,0)</f>
        <v>0</v>
      </c>
      <c r="AK28" s="38">
        <f aca="true" t="shared" si="56" ref="AK28:AK34">AH28*2</f>
        <v>8</v>
      </c>
      <c r="AL28" s="39">
        <f aca="true" t="shared" si="57" ref="AL28:AL34">AI28*0</f>
        <v>0</v>
      </c>
      <c r="AM28" s="40">
        <f aca="true" t="shared" si="58" ref="AM28:AM34">AJ28*1</f>
        <v>0</v>
      </c>
      <c r="AN28" s="41">
        <f aca="true" t="shared" si="59" ref="AN28:AN34">AK28+AL28+AM28</f>
        <v>8</v>
      </c>
      <c r="AO28" s="37">
        <f aca="true" t="shared" si="60" ref="AO28:AO34">IF(ISNUMBER(G28),G28,0)+IF(ISNUMBER(K28),K28,0)+IF(ISNUMBER(O28),O28,0)+IF(ISNUMBER(AA28),AA28,0)+IF(ISNUMBER(AE28),AE28,0)+IF(ISNUMBER(S28),S28,0)+IF(ISNUMBER(W28),W28,0)+IF(ISNUMBER(C28),C28,0)</f>
        <v>80</v>
      </c>
      <c r="AP28" s="37">
        <f aca="true" t="shared" si="61" ref="AP28:AP34">IF(ISNUMBER(I28),I28,0)+IF(ISNUMBER(M28),M28,0)+IF(ISNUMBER(Q28),Q28,0)+IF(ISNUMBER(AC28),AC28,0)+IF(ISNUMBER(AG28),AG28,0)+IF(ISNUMBER(U28),U28,0)+IF(ISNUMBER(Y28),Y28,0)+IF(ISNUMBER(E28),E28,0)</f>
        <v>17</v>
      </c>
      <c r="AQ28" s="32">
        <f t="shared" si="50"/>
        <v>63</v>
      </c>
      <c r="AR28" s="1"/>
      <c r="AS28" s="1"/>
      <c r="AT28" s="49">
        <f>AY28+COUNTIF(AY$26:AY27,AY28)</f>
        <v>4</v>
      </c>
      <c r="AU28" s="51" t="str">
        <f aca="true" t="shared" si="62" ref="AU28:AU34">+A28</f>
        <v>五香メッツ</v>
      </c>
      <c r="AV28" s="49">
        <f t="shared" si="51"/>
        <v>8</v>
      </c>
      <c r="AW28" s="49">
        <f aca="true" t="shared" si="63" ref="AW28:AW34">+AH28</f>
        <v>4</v>
      </c>
      <c r="AX28" s="49">
        <f aca="true" t="shared" si="64" ref="AX28:AX34">+AH28+AI28+AJ28</f>
        <v>6</v>
      </c>
      <c r="AY28" s="49">
        <f aca="true" t="shared" si="65" ref="AY28:AY34">RANK(AV28,AV$27:AV$34)</f>
        <v>4</v>
      </c>
      <c r="AZ28" s="50">
        <f>VLOOKUP(ROW(AX2),$AT$27:$AZ$34,6,FALSE)</f>
        <v>2</v>
      </c>
      <c r="BA28" s="52" t="str">
        <f>VLOOKUP(ROW(AX2),$AT$27:$AY$34,2,FALSE)</f>
        <v>ヤングスターズ</v>
      </c>
      <c r="BB28" s="52">
        <f>VLOOKUP(ROW(AX2),$AT$27:$AY$34,3,FALSE)</f>
        <v>11</v>
      </c>
      <c r="BC28" s="52">
        <f>VLOOKUP(ROW(AX2),$AT$27:$AY$34,4,FALSE)</f>
        <v>5</v>
      </c>
      <c r="BD28" s="52">
        <f>VLOOKUP(ROW(AX2),$AT$27:$AY$34,5,FALSE)</f>
        <v>7</v>
      </c>
      <c r="BE28" s="62"/>
      <c r="BG28" s="49">
        <f>BJ28+COUNTIF(BJ$26:BJ27,BJ28)</f>
        <v>7</v>
      </c>
      <c r="BH28" s="51" t="str">
        <f aca="true" t="shared" si="66" ref="BH28:BH34">+AU28</f>
        <v>五香メッツ</v>
      </c>
      <c r="BI28" s="49">
        <f t="shared" si="52"/>
        <v>6</v>
      </c>
      <c r="BJ28" s="49">
        <f aca="true" t="shared" si="67" ref="BJ28:BJ34">RANK(BI28,BI$27:BI$34)</f>
        <v>7</v>
      </c>
      <c r="BK28" s="50">
        <f>VLOOKUP(ROW(BK2),$BG$27:$BJ$34,4,FALSE)</f>
        <v>1</v>
      </c>
      <c r="BL28" s="52" t="str">
        <f>VLOOKUP(ROW(BL2),$BG$27:$BJ$34,2,FALSE)</f>
        <v>ヤングスターズ</v>
      </c>
    </row>
    <row r="29" spans="1:64" ht="19.5" customHeight="1">
      <c r="A29" s="107" t="s">
        <v>97</v>
      </c>
      <c r="B29" s="43"/>
      <c r="C29" s="44">
        <v>12</v>
      </c>
      <c r="D29" s="44"/>
      <c r="E29" s="45">
        <v>1</v>
      </c>
      <c r="F29" s="43"/>
      <c r="G29" s="44">
        <v>10</v>
      </c>
      <c r="H29" s="44"/>
      <c r="I29" s="45">
        <v>9</v>
      </c>
      <c r="J29" s="43"/>
      <c r="K29" s="44"/>
      <c r="L29" s="44"/>
      <c r="M29" s="45"/>
      <c r="N29" s="43"/>
      <c r="O29" s="44">
        <f>IF(M30="","",M30)</f>
        <v>23</v>
      </c>
      <c r="P29" s="44"/>
      <c r="Q29" s="45">
        <f>IF(K30="","",K30)</f>
        <v>0</v>
      </c>
      <c r="R29" s="43"/>
      <c r="S29" s="44">
        <f>IF(M31="","",M31)</f>
        <v>6</v>
      </c>
      <c r="T29" s="44"/>
      <c r="U29" s="45">
        <f>IF(K31="","",K31)</f>
        <v>2</v>
      </c>
      <c r="V29" s="43"/>
      <c r="W29" s="44">
        <f>IF(M32="","",M32)</f>
        <v>7</v>
      </c>
      <c r="X29" s="44"/>
      <c r="Y29" s="45">
        <f>IF(K32="","",K32)</f>
        <v>0</v>
      </c>
      <c r="Z29" s="43"/>
      <c r="AA29" s="44">
        <f>IF(M33="","",M33)</f>
        <v>1</v>
      </c>
      <c r="AB29" s="44"/>
      <c r="AC29" s="45">
        <f>IF(K33="","",K33)</f>
        <v>4</v>
      </c>
      <c r="AD29" s="43"/>
      <c r="AE29" s="44">
        <f>IF(M34="","",M34)</f>
        <v>3</v>
      </c>
      <c r="AF29" s="44"/>
      <c r="AG29" s="45">
        <f>IF(K34="","",K34)</f>
        <v>3</v>
      </c>
      <c r="AH29" s="37">
        <f t="shared" si="53"/>
        <v>5</v>
      </c>
      <c r="AI29" s="37">
        <f t="shared" si="54"/>
        <v>1</v>
      </c>
      <c r="AJ29" s="37">
        <f t="shared" si="55"/>
        <v>1</v>
      </c>
      <c r="AK29" s="38">
        <f t="shared" si="56"/>
        <v>10</v>
      </c>
      <c r="AL29" s="39">
        <f t="shared" si="57"/>
        <v>0</v>
      </c>
      <c r="AM29" s="40">
        <f t="shared" si="58"/>
        <v>1</v>
      </c>
      <c r="AN29" s="41">
        <f t="shared" si="59"/>
        <v>11</v>
      </c>
      <c r="AO29" s="37">
        <f t="shared" si="60"/>
        <v>62</v>
      </c>
      <c r="AP29" s="37">
        <f t="shared" si="61"/>
        <v>19</v>
      </c>
      <c r="AQ29" s="42">
        <f t="shared" si="50"/>
        <v>43</v>
      </c>
      <c r="AR29" s="1"/>
      <c r="AS29" s="1"/>
      <c r="AT29" s="49">
        <f>AY29+COUNTIF(AY$26:AY28,AY29)</f>
        <v>2</v>
      </c>
      <c r="AU29" s="51" t="str">
        <f t="shared" si="62"/>
        <v>ヤングスターズ</v>
      </c>
      <c r="AV29" s="49">
        <f t="shared" si="51"/>
        <v>11</v>
      </c>
      <c r="AW29" s="49">
        <f t="shared" si="63"/>
        <v>5</v>
      </c>
      <c r="AX29" s="49">
        <f t="shared" si="64"/>
        <v>7</v>
      </c>
      <c r="AY29" s="49">
        <f t="shared" si="65"/>
        <v>2</v>
      </c>
      <c r="AZ29" s="50">
        <f aca="true" t="shared" si="68" ref="AZ29:AZ34">VLOOKUP(ROW(AT3),$AT$27:$AZ$34,6,FALSE)</f>
        <v>3</v>
      </c>
      <c r="BA29" s="52" t="str">
        <f aca="true" t="shared" si="69" ref="BA29:BA34">VLOOKUP(ROW(AT3),$AT$27:$AY$34,2,FALSE)</f>
        <v>リトルイーグルス</v>
      </c>
      <c r="BB29" s="52">
        <f aca="true" t="shared" si="70" ref="BB29:BB34">VLOOKUP(ROW(AT3),$AT$27:$AY$34,3,FALSE)</f>
        <v>9</v>
      </c>
      <c r="BC29" s="52">
        <f aca="true" t="shared" si="71" ref="BC29:BC34">VLOOKUP(ROW(AT3),$AT$27:$AY$34,4,FALSE)</f>
        <v>4</v>
      </c>
      <c r="BD29" s="52">
        <f aca="true" t="shared" si="72" ref="BD29:BD34">VLOOKUP(ROW(AT3),$AT$27:$AY$34,5,FALSE)</f>
        <v>7</v>
      </c>
      <c r="BE29" s="62"/>
      <c r="BG29" s="49">
        <f>BJ29+COUNTIF(BJ$26:BJ28,BJ29)</f>
        <v>2</v>
      </c>
      <c r="BH29" s="51" t="str">
        <f t="shared" si="66"/>
        <v>ヤングスターズ</v>
      </c>
      <c r="BI29" s="49">
        <f t="shared" si="52"/>
        <v>7</v>
      </c>
      <c r="BJ29" s="49">
        <f t="shared" si="67"/>
        <v>1</v>
      </c>
      <c r="BK29" s="50">
        <f aca="true" t="shared" si="73" ref="BK29:BK34">VLOOKUP(ROW(BG3),$BG$27:$BJ$34,4,FALSE)</f>
        <v>1</v>
      </c>
      <c r="BL29" s="52" t="str">
        <f aca="true" t="shared" si="74" ref="BL29:BL34">VLOOKUP(ROW(BH3),$BG$27:$BJ$34,2,FALSE)</f>
        <v>梅郷パワーズ</v>
      </c>
    </row>
    <row r="30" spans="1:64" ht="19.5" customHeight="1">
      <c r="A30" s="107" t="s">
        <v>98</v>
      </c>
      <c r="B30" s="43"/>
      <c r="C30" s="44">
        <v>3</v>
      </c>
      <c r="D30" s="44"/>
      <c r="E30" s="45">
        <v>13</v>
      </c>
      <c r="F30" s="43"/>
      <c r="G30" s="44"/>
      <c r="H30" s="44"/>
      <c r="I30" s="45"/>
      <c r="J30" s="43"/>
      <c r="K30" s="44">
        <v>0</v>
      </c>
      <c r="L30" s="44"/>
      <c r="M30" s="45">
        <v>23</v>
      </c>
      <c r="N30" s="43"/>
      <c r="O30" s="44"/>
      <c r="P30" s="44"/>
      <c r="Q30" s="45"/>
      <c r="R30" s="43"/>
      <c r="S30" s="44">
        <f>IF(Q31="","",Q31)</f>
        <v>0</v>
      </c>
      <c r="T30" s="44"/>
      <c r="U30" s="45">
        <f>IF(O31="","",O31)</f>
        <v>16</v>
      </c>
      <c r="V30" s="43"/>
      <c r="W30" s="44">
        <f>IF(Q32="","",Q32)</f>
        <v>16</v>
      </c>
      <c r="X30" s="44"/>
      <c r="Y30" s="45">
        <f>IF(O32="","",O32)</f>
        <v>1</v>
      </c>
      <c r="Z30" s="43"/>
      <c r="AA30" s="44">
        <f>IF(Q33="","",Q33)</f>
        <v>2</v>
      </c>
      <c r="AB30" s="44"/>
      <c r="AC30" s="45">
        <f>IF(O33="","",O33)</f>
        <v>4</v>
      </c>
      <c r="AD30" s="43"/>
      <c r="AE30" s="44">
        <f>IF(Q34="","",Q34)</f>
        <v>3</v>
      </c>
      <c r="AF30" s="44"/>
      <c r="AG30" s="45">
        <f>IF(O34="","",O34)</f>
        <v>14</v>
      </c>
      <c r="AH30" s="37">
        <f t="shared" si="53"/>
        <v>1</v>
      </c>
      <c r="AI30" s="37">
        <f t="shared" si="54"/>
        <v>5</v>
      </c>
      <c r="AJ30" s="37">
        <f t="shared" si="55"/>
        <v>0</v>
      </c>
      <c r="AK30" s="38">
        <f t="shared" si="56"/>
        <v>2</v>
      </c>
      <c r="AL30" s="39">
        <f t="shared" si="57"/>
        <v>0</v>
      </c>
      <c r="AM30" s="40">
        <f t="shared" si="58"/>
        <v>0</v>
      </c>
      <c r="AN30" s="41">
        <f t="shared" si="59"/>
        <v>2</v>
      </c>
      <c r="AO30" s="37">
        <f t="shared" si="60"/>
        <v>24</v>
      </c>
      <c r="AP30" s="37">
        <f t="shared" si="61"/>
        <v>71</v>
      </c>
      <c r="AQ30" s="32">
        <f t="shared" si="50"/>
        <v>-47</v>
      </c>
      <c r="AR30" s="1"/>
      <c r="AS30" s="1"/>
      <c r="AT30" s="49">
        <f>AY30+COUNTIF(AY$26:AY29,AY30)</f>
        <v>7</v>
      </c>
      <c r="AU30" s="51" t="str">
        <f t="shared" si="62"/>
        <v>大和田レッズ</v>
      </c>
      <c r="AV30" s="49">
        <f t="shared" si="51"/>
        <v>2</v>
      </c>
      <c r="AW30" s="49">
        <f t="shared" si="63"/>
        <v>1</v>
      </c>
      <c r="AX30" s="49">
        <f t="shared" si="64"/>
        <v>6</v>
      </c>
      <c r="AY30" s="49">
        <f t="shared" si="65"/>
        <v>7</v>
      </c>
      <c r="AZ30" s="50">
        <f t="shared" si="68"/>
        <v>4</v>
      </c>
      <c r="BA30" s="52" t="str">
        <f t="shared" si="69"/>
        <v>五香メッツ</v>
      </c>
      <c r="BB30" s="52">
        <f t="shared" si="70"/>
        <v>8</v>
      </c>
      <c r="BC30" s="52">
        <f t="shared" si="71"/>
        <v>4</v>
      </c>
      <c r="BD30" s="52">
        <f t="shared" si="72"/>
        <v>6</v>
      </c>
      <c r="BE30" s="62"/>
      <c r="BG30" s="49">
        <f>BJ30+COUNTIF(BJ$26:BJ29,BJ30)</f>
        <v>8</v>
      </c>
      <c r="BH30" s="51" t="str">
        <f t="shared" si="66"/>
        <v>大和田レッズ</v>
      </c>
      <c r="BI30" s="49">
        <f t="shared" si="52"/>
        <v>6</v>
      </c>
      <c r="BJ30" s="49">
        <f t="shared" si="67"/>
        <v>7</v>
      </c>
      <c r="BK30" s="50">
        <f t="shared" si="73"/>
        <v>1</v>
      </c>
      <c r="BL30" s="52" t="str">
        <f t="shared" si="74"/>
        <v>新柏ツィンズ</v>
      </c>
    </row>
    <row r="31" spans="1:64" ht="19.5" customHeight="1">
      <c r="A31" s="107" t="s">
        <v>99</v>
      </c>
      <c r="B31" s="43"/>
      <c r="C31" s="44">
        <v>4</v>
      </c>
      <c r="D31" s="44"/>
      <c r="E31" s="45">
        <v>4</v>
      </c>
      <c r="F31" s="43"/>
      <c r="G31" s="44">
        <v>0</v>
      </c>
      <c r="H31" s="44"/>
      <c r="I31" s="45">
        <v>14</v>
      </c>
      <c r="J31" s="43"/>
      <c r="K31" s="44">
        <v>2</v>
      </c>
      <c r="L31" s="44"/>
      <c r="M31" s="45">
        <v>6</v>
      </c>
      <c r="N31" s="43"/>
      <c r="O31" s="44">
        <v>16</v>
      </c>
      <c r="P31" s="44"/>
      <c r="Q31" s="45">
        <v>0</v>
      </c>
      <c r="R31" s="43"/>
      <c r="S31" s="44"/>
      <c r="T31" s="44"/>
      <c r="U31" s="45"/>
      <c r="V31" s="43"/>
      <c r="W31" s="44">
        <f>IF(U32="","",U32)</f>
        <v>14</v>
      </c>
      <c r="X31" s="44"/>
      <c r="Y31" s="45">
        <f>IF(S32="","",S32)</f>
        <v>0</v>
      </c>
      <c r="Z31" s="43"/>
      <c r="AA31" s="44">
        <f>IF(U33="","",U33)</f>
        <v>1</v>
      </c>
      <c r="AB31" s="44"/>
      <c r="AC31" s="45">
        <f>IF(S33="","",S33)</f>
        <v>3</v>
      </c>
      <c r="AD31" s="43"/>
      <c r="AE31" s="44">
        <f>IF(U34="","",U34)</f>
        <v>0</v>
      </c>
      <c r="AF31" s="44"/>
      <c r="AG31" s="45">
        <f>IF(S34="","",S34)</f>
        <v>11</v>
      </c>
      <c r="AH31" s="37">
        <f t="shared" si="53"/>
        <v>2</v>
      </c>
      <c r="AI31" s="37">
        <f t="shared" si="54"/>
        <v>4</v>
      </c>
      <c r="AJ31" s="37">
        <f t="shared" si="55"/>
        <v>1</v>
      </c>
      <c r="AK31" s="38">
        <f t="shared" si="56"/>
        <v>4</v>
      </c>
      <c r="AL31" s="39">
        <f t="shared" si="57"/>
        <v>0</v>
      </c>
      <c r="AM31" s="40">
        <f t="shared" si="58"/>
        <v>1</v>
      </c>
      <c r="AN31" s="41">
        <f t="shared" si="59"/>
        <v>5</v>
      </c>
      <c r="AO31" s="37">
        <f t="shared" si="60"/>
        <v>37</v>
      </c>
      <c r="AP31" s="37">
        <f t="shared" si="61"/>
        <v>38</v>
      </c>
      <c r="AQ31" s="32">
        <f t="shared" si="50"/>
        <v>-1</v>
      </c>
      <c r="AR31" s="1"/>
      <c r="AS31" s="1"/>
      <c r="AT31" s="49">
        <f>AY31+COUNTIF(AY$26:AY30,AY31)</f>
        <v>5</v>
      </c>
      <c r="AU31" s="51" t="str">
        <f t="shared" si="62"/>
        <v>梅郷パワーズ</v>
      </c>
      <c r="AV31" s="49">
        <f t="shared" si="51"/>
        <v>5</v>
      </c>
      <c r="AW31" s="49">
        <f t="shared" si="63"/>
        <v>2</v>
      </c>
      <c r="AX31" s="49">
        <f t="shared" si="64"/>
        <v>7</v>
      </c>
      <c r="AY31" s="49">
        <f t="shared" si="65"/>
        <v>5</v>
      </c>
      <c r="AZ31" s="50">
        <f t="shared" si="68"/>
        <v>5</v>
      </c>
      <c r="BA31" s="52" t="str">
        <f t="shared" si="69"/>
        <v>梅郷パワーズ</v>
      </c>
      <c r="BB31" s="52">
        <f t="shared" si="70"/>
        <v>5</v>
      </c>
      <c r="BC31" s="52">
        <f t="shared" si="71"/>
        <v>2</v>
      </c>
      <c r="BD31" s="52">
        <f t="shared" si="72"/>
        <v>7</v>
      </c>
      <c r="BE31" s="62"/>
      <c r="BG31" s="49">
        <f>BJ31+COUNTIF(BJ$26:BJ30,BJ31)</f>
        <v>3</v>
      </c>
      <c r="BH31" s="51" t="str">
        <f t="shared" si="66"/>
        <v>梅郷パワーズ</v>
      </c>
      <c r="BI31" s="49">
        <f t="shared" si="52"/>
        <v>7</v>
      </c>
      <c r="BJ31" s="49">
        <f t="shared" si="67"/>
        <v>1</v>
      </c>
      <c r="BK31" s="50">
        <f t="shared" si="73"/>
        <v>1</v>
      </c>
      <c r="BL31" s="52" t="str">
        <f t="shared" si="74"/>
        <v>若草</v>
      </c>
    </row>
    <row r="32" spans="1:64" ht="19.5" customHeight="1">
      <c r="A32" s="107" t="s">
        <v>100</v>
      </c>
      <c r="B32" s="43"/>
      <c r="C32" s="44">
        <v>4</v>
      </c>
      <c r="D32" s="44"/>
      <c r="E32" s="45">
        <v>3</v>
      </c>
      <c r="F32" s="43"/>
      <c r="G32" s="44">
        <v>1</v>
      </c>
      <c r="H32" s="44"/>
      <c r="I32" s="45">
        <v>24</v>
      </c>
      <c r="J32" s="43"/>
      <c r="K32" s="44">
        <v>0</v>
      </c>
      <c r="L32" s="44"/>
      <c r="M32" s="45">
        <v>7</v>
      </c>
      <c r="N32" s="43"/>
      <c r="O32" s="44">
        <v>1</v>
      </c>
      <c r="P32" s="44"/>
      <c r="Q32" s="45">
        <v>16</v>
      </c>
      <c r="R32" s="43"/>
      <c r="S32" s="44">
        <v>0</v>
      </c>
      <c r="T32" s="44"/>
      <c r="U32" s="45">
        <v>14</v>
      </c>
      <c r="V32" s="43"/>
      <c r="W32" s="44"/>
      <c r="X32" s="44"/>
      <c r="Y32" s="45"/>
      <c r="Z32" s="43"/>
      <c r="AA32" s="44">
        <f>IF(Y33="","",Y33)</f>
        <v>5</v>
      </c>
      <c r="AB32" s="44"/>
      <c r="AC32" s="45">
        <f>IF(W33="","",W33)</f>
        <v>19</v>
      </c>
      <c r="AD32" s="43"/>
      <c r="AE32" s="44">
        <f>IF(Y34="","",Y34)</f>
        <v>6</v>
      </c>
      <c r="AF32" s="44"/>
      <c r="AG32" s="45">
        <f>IF(W34="","",W34)</f>
        <v>12</v>
      </c>
      <c r="AH32" s="37">
        <f t="shared" si="53"/>
        <v>1</v>
      </c>
      <c r="AI32" s="37">
        <f t="shared" si="54"/>
        <v>6</v>
      </c>
      <c r="AJ32" s="37">
        <f t="shared" si="55"/>
        <v>0</v>
      </c>
      <c r="AK32" s="38">
        <f t="shared" si="56"/>
        <v>2</v>
      </c>
      <c r="AL32" s="39">
        <f t="shared" si="57"/>
        <v>0</v>
      </c>
      <c r="AM32" s="40">
        <f t="shared" si="58"/>
        <v>0</v>
      </c>
      <c r="AN32" s="41">
        <f t="shared" si="59"/>
        <v>2</v>
      </c>
      <c r="AO32" s="37">
        <f t="shared" si="60"/>
        <v>17</v>
      </c>
      <c r="AP32" s="37">
        <f t="shared" si="61"/>
        <v>95</v>
      </c>
      <c r="AQ32" s="37">
        <f t="shared" si="50"/>
        <v>-78</v>
      </c>
      <c r="AR32" s="1"/>
      <c r="AS32" s="1"/>
      <c r="AT32" s="49">
        <f>AY32+COUNTIF(AY$26:AY31,AY32)</f>
        <v>8</v>
      </c>
      <c r="AU32" s="51" t="str">
        <f t="shared" si="62"/>
        <v>新柏ツィンズ</v>
      </c>
      <c r="AV32" s="49">
        <f t="shared" si="51"/>
        <v>2</v>
      </c>
      <c r="AW32" s="49">
        <f t="shared" si="63"/>
        <v>1</v>
      </c>
      <c r="AX32" s="49">
        <f t="shared" si="64"/>
        <v>7</v>
      </c>
      <c r="AY32" s="49">
        <f t="shared" si="65"/>
        <v>7</v>
      </c>
      <c r="AZ32" s="50">
        <f t="shared" si="68"/>
        <v>6</v>
      </c>
      <c r="BA32" s="52" t="str">
        <f t="shared" si="69"/>
        <v>リトルベアーズ</v>
      </c>
      <c r="BB32" s="52">
        <f t="shared" si="70"/>
        <v>3</v>
      </c>
      <c r="BC32" s="52">
        <f t="shared" si="71"/>
        <v>1</v>
      </c>
      <c r="BD32" s="52">
        <f t="shared" si="72"/>
        <v>7</v>
      </c>
      <c r="BE32" s="62"/>
      <c r="BG32" s="49">
        <f>BJ32+COUNTIF(BJ$26:BJ31,BJ32)</f>
        <v>4</v>
      </c>
      <c r="BH32" s="51" t="str">
        <f t="shared" si="66"/>
        <v>新柏ツィンズ</v>
      </c>
      <c r="BI32" s="49">
        <f t="shared" si="52"/>
        <v>7</v>
      </c>
      <c r="BJ32" s="49">
        <f t="shared" si="67"/>
        <v>1</v>
      </c>
      <c r="BK32" s="50">
        <f t="shared" si="73"/>
        <v>1</v>
      </c>
      <c r="BL32" s="52" t="str">
        <f t="shared" si="74"/>
        <v>リトルイーグルス</v>
      </c>
    </row>
    <row r="33" spans="1:64" ht="19.5" customHeight="1">
      <c r="A33" s="107" t="s">
        <v>101</v>
      </c>
      <c r="B33" s="43"/>
      <c r="C33" s="44">
        <v>11</v>
      </c>
      <c r="D33" s="44"/>
      <c r="E33" s="45">
        <v>1</v>
      </c>
      <c r="F33" s="43"/>
      <c r="G33" s="44">
        <v>5</v>
      </c>
      <c r="H33" s="44"/>
      <c r="I33" s="45">
        <v>1</v>
      </c>
      <c r="J33" s="43"/>
      <c r="K33" s="44">
        <v>4</v>
      </c>
      <c r="L33" s="44"/>
      <c r="M33" s="45">
        <v>1</v>
      </c>
      <c r="N33" s="43"/>
      <c r="O33" s="44">
        <v>4</v>
      </c>
      <c r="P33" s="44"/>
      <c r="Q33" s="45">
        <v>2</v>
      </c>
      <c r="R33" s="43"/>
      <c r="S33" s="44">
        <v>3</v>
      </c>
      <c r="T33" s="44"/>
      <c r="U33" s="45">
        <v>1</v>
      </c>
      <c r="V33" s="43"/>
      <c r="W33" s="44">
        <v>19</v>
      </c>
      <c r="X33" s="44"/>
      <c r="Y33" s="45">
        <v>5</v>
      </c>
      <c r="Z33" s="43"/>
      <c r="AA33" s="44"/>
      <c r="AB33" s="44"/>
      <c r="AC33" s="45"/>
      <c r="AD33" s="43"/>
      <c r="AE33" s="44">
        <f>IF(AC34="","",AC34)</f>
        <v>6</v>
      </c>
      <c r="AF33" s="44"/>
      <c r="AG33" s="45">
        <f>IF(AA34="","",AA34)</f>
        <v>0</v>
      </c>
      <c r="AH33" s="37">
        <f t="shared" si="53"/>
        <v>7</v>
      </c>
      <c r="AI33" s="37">
        <f t="shared" si="54"/>
        <v>0</v>
      </c>
      <c r="AJ33" s="37">
        <f t="shared" si="55"/>
        <v>0</v>
      </c>
      <c r="AK33" s="38">
        <f t="shared" si="56"/>
        <v>14</v>
      </c>
      <c r="AL33" s="39">
        <f t="shared" si="57"/>
        <v>0</v>
      </c>
      <c r="AM33" s="40">
        <f t="shared" si="58"/>
        <v>0</v>
      </c>
      <c r="AN33" s="41">
        <f t="shared" si="59"/>
        <v>14</v>
      </c>
      <c r="AO33" s="37">
        <f t="shared" si="60"/>
        <v>52</v>
      </c>
      <c r="AP33" s="37">
        <f t="shared" si="61"/>
        <v>11</v>
      </c>
      <c r="AQ33" s="37">
        <f t="shared" si="50"/>
        <v>41</v>
      </c>
      <c r="AR33" s="1"/>
      <c r="AS33" s="1"/>
      <c r="AT33" s="49">
        <f>AY33+COUNTIF(AY$26:AY32,AY33)</f>
        <v>1</v>
      </c>
      <c r="AU33" s="51" t="str">
        <f t="shared" si="62"/>
        <v>若草</v>
      </c>
      <c r="AV33" s="49">
        <f t="shared" si="51"/>
        <v>14</v>
      </c>
      <c r="AW33" s="49">
        <f t="shared" si="63"/>
        <v>7</v>
      </c>
      <c r="AX33" s="49">
        <f t="shared" si="64"/>
        <v>7</v>
      </c>
      <c r="AY33" s="49">
        <f t="shared" si="65"/>
        <v>1</v>
      </c>
      <c r="AZ33" s="50">
        <f t="shared" si="68"/>
        <v>7</v>
      </c>
      <c r="BA33" s="52" t="str">
        <f t="shared" si="69"/>
        <v>大和田レッズ</v>
      </c>
      <c r="BB33" s="52">
        <f t="shared" si="70"/>
        <v>2</v>
      </c>
      <c r="BC33" s="52">
        <f t="shared" si="71"/>
        <v>1</v>
      </c>
      <c r="BD33" s="52">
        <f t="shared" si="72"/>
        <v>6</v>
      </c>
      <c r="BE33" s="62"/>
      <c r="BG33" s="49">
        <f>BJ33+COUNTIF(BJ$26:BJ32,BJ33)</f>
        <v>5</v>
      </c>
      <c r="BH33" s="51" t="str">
        <f t="shared" si="66"/>
        <v>若草</v>
      </c>
      <c r="BI33" s="49">
        <f t="shared" si="52"/>
        <v>7</v>
      </c>
      <c r="BJ33" s="49">
        <f t="shared" si="67"/>
        <v>1</v>
      </c>
      <c r="BK33" s="50">
        <f t="shared" si="73"/>
        <v>7</v>
      </c>
      <c r="BL33" s="52" t="str">
        <f t="shared" si="74"/>
        <v>五香メッツ</v>
      </c>
    </row>
    <row r="34" spans="1:64" ht="19.5" customHeight="1">
      <c r="A34" s="107" t="s">
        <v>102</v>
      </c>
      <c r="B34" s="43"/>
      <c r="C34" s="44">
        <v>7</v>
      </c>
      <c r="D34" s="44"/>
      <c r="E34" s="45">
        <v>5</v>
      </c>
      <c r="F34" s="43"/>
      <c r="G34" s="44">
        <v>0</v>
      </c>
      <c r="H34" s="44"/>
      <c r="I34" s="45">
        <v>14</v>
      </c>
      <c r="J34" s="43"/>
      <c r="K34" s="44">
        <v>3</v>
      </c>
      <c r="L34" s="44"/>
      <c r="M34" s="45">
        <v>3</v>
      </c>
      <c r="N34" s="43"/>
      <c r="O34" s="44">
        <v>14</v>
      </c>
      <c r="P34" s="44"/>
      <c r="Q34" s="45">
        <v>3</v>
      </c>
      <c r="R34" s="43"/>
      <c r="S34" s="44">
        <v>11</v>
      </c>
      <c r="T34" s="44"/>
      <c r="U34" s="45">
        <v>0</v>
      </c>
      <c r="V34" s="43"/>
      <c r="W34" s="44">
        <v>12</v>
      </c>
      <c r="X34" s="44"/>
      <c r="Y34" s="45">
        <v>6</v>
      </c>
      <c r="Z34" s="43"/>
      <c r="AA34" s="44">
        <v>0</v>
      </c>
      <c r="AB34" s="44"/>
      <c r="AC34" s="45">
        <v>6</v>
      </c>
      <c r="AD34" s="43"/>
      <c r="AE34" s="44"/>
      <c r="AF34" s="44"/>
      <c r="AG34" s="45"/>
      <c r="AH34" s="37">
        <f t="shared" si="53"/>
        <v>4</v>
      </c>
      <c r="AI34" s="37">
        <f t="shared" si="54"/>
        <v>2</v>
      </c>
      <c r="AJ34" s="37">
        <f t="shared" si="55"/>
        <v>1</v>
      </c>
      <c r="AK34" s="38">
        <f t="shared" si="56"/>
        <v>8</v>
      </c>
      <c r="AL34" s="39">
        <f t="shared" si="57"/>
        <v>0</v>
      </c>
      <c r="AM34" s="40">
        <f t="shared" si="58"/>
        <v>1</v>
      </c>
      <c r="AN34" s="41">
        <f t="shared" si="59"/>
        <v>9</v>
      </c>
      <c r="AO34" s="37">
        <f t="shared" si="60"/>
        <v>47</v>
      </c>
      <c r="AP34" s="37">
        <f t="shared" si="61"/>
        <v>37</v>
      </c>
      <c r="AQ34" s="37">
        <f>AO34-AP34</f>
        <v>10</v>
      </c>
      <c r="AR34" s="1"/>
      <c r="AS34" s="1"/>
      <c r="AT34" s="49">
        <f>AY34+COUNTIF(AY$26:AY33,AY34)</f>
        <v>3</v>
      </c>
      <c r="AU34" s="51" t="str">
        <f t="shared" si="62"/>
        <v>リトルイーグルス</v>
      </c>
      <c r="AV34" s="49">
        <f t="shared" si="51"/>
        <v>9</v>
      </c>
      <c r="AW34" s="49">
        <f t="shared" si="63"/>
        <v>4</v>
      </c>
      <c r="AX34" s="49">
        <f t="shared" si="64"/>
        <v>7</v>
      </c>
      <c r="AY34" s="49">
        <f t="shared" si="65"/>
        <v>3</v>
      </c>
      <c r="AZ34" s="50">
        <f t="shared" si="68"/>
        <v>7</v>
      </c>
      <c r="BA34" s="52" t="str">
        <f t="shared" si="69"/>
        <v>新柏ツィンズ</v>
      </c>
      <c r="BB34" s="52">
        <f t="shared" si="70"/>
        <v>2</v>
      </c>
      <c r="BC34" s="52">
        <f t="shared" si="71"/>
        <v>1</v>
      </c>
      <c r="BD34" s="52">
        <f t="shared" si="72"/>
        <v>7</v>
      </c>
      <c r="BE34" s="62"/>
      <c r="BG34" s="49">
        <f>BJ34+COUNTIF(BJ$26:BJ33,BJ34)</f>
        <v>6</v>
      </c>
      <c r="BH34" s="51" t="str">
        <f t="shared" si="66"/>
        <v>リトルイーグルス</v>
      </c>
      <c r="BI34" s="49">
        <f t="shared" si="52"/>
        <v>7</v>
      </c>
      <c r="BJ34" s="49">
        <f t="shared" si="67"/>
        <v>1</v>
      </c>
      <c r="BK34" s="50">
        <f t="shared" si="73"/>
        <v>7</v>
      </c>
      <c r="BL34" s="52" t="str">
        <f t="shared" si="74"/>
        <v>大和田レッズ</v>
      </c>
    </row>
    <row r="35" spans="1:62" ht="19.5" customHeight="1">
      <c r="A35" s="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1"/>
      <c r="AI35" s="7">
        <f>SUM(AH27:AH34)</f>
        <v>25</v>
      </c>
      <c r="AJ35" s="7">
        <f>SUM(AI27:AI34)</f>
        <v>25</v>
      </c>
      <c r="AK35" s="7">
        <f>SUM(AJ27:AJ34)</f>
        <v>4</v>
      </c>
      <c r="AL35" s="7"/>
      <c r="AM35" s="7"/>
      <c r="AN35" s="1"/>
      <c r="AO35" s="7">
        <f>SUM(AO27:AO34)</f>
        <v>347</v>
      </c>
      <c r="AP35" s="7">
        <f>SUM(AP27:AP34)</f>
        <v>347</v>
      </c>
      <c r="AQ35" s="7">
        <f>SUM(AQ27:AQ34)</f>
        <v>0</v>
      </c>
      <c r="BI35" s="60">
        <f>SUM(BI27:BI34)/2</f>
        <v>27</v>
      </c>
      <c r="BJ35" s="3">
        <f>7*8/2</f>
        <v>28</v>
      </c>
    </row>
    <row r="36" spans="1:47" ht="19.5" customHeight="1">
      <c r="A36" s="4" t="s">
        <v>31</v>
      </c>
      <c r="B36" s="90" t="s">
        <v>71</v>
      </c>
      <c r="C36" s="58"/>
      <c r="D36" s="58"/>
      <c r="E36" s="58"/>
      <c r="F36" s="58"/>
      <c r="G36" s="158" t="str">
        <f>"１日"&amp;ROUND((BJ46-BI46)/'戦績'!N42,1)&amp;"試合"</f>
        <v>１日0.7試合</v>
      </c>
      <c r="H36" s="158"/>
      <c r="I36" s="158"/>
      <c r="J36" s="158"/>
      <c r="K36" s="153" t="s">
        <v>27</v>
      </c>
      <c r="L36" s="153"/>
      <c r="M36" s="153"/>
      <c r="N36" s="153"/>
      <c r="O36" s="154" t="str">
        <f>IF(C83&gt;C82,+BA38,"")</f>
        <v>小金原ビクトリー</v>
      </c>
      <c r="P36" s="154"/>
      <c r="Q36" s="154"/>
      <c r="R36" s="154"/>
      <c r="S36" s="154"/>
      <c r="T36" s="59"/>
      <c r="U36" s="153" t="s">
        <v>28</v>
      </c>
      <c r="V36" s="153"/>
      <c r="W36" s="153"/>
      <c r="X36" s="153"/>
      <c r="Y36" s="154" t="str">
        <f>IF(C83&gt;C82,+BA39,"")</f>
        <v>球　人　ズ</v>
      </c>
      <c r="Z36" s="154"/>
      <c r="AA36" s="154"/>
      <c r="AB36" s="154"/>
      <c r="AC36" s="154"/>
      <c r="AD36" s="154"/>
      <c r="AE36" s="1"/>
      <c r="AF36" s="61" t="s">
        <v>30</v>
      </c>
      <c r="AG36" s="1"/>
      <c r="AH36" s="1"/>
      <c r="AI36" s="1"/>
      <c r="AJ36" s="151">
        <f>+BI46/(MAX(AT38:AT45)*(MAX(AT38:AT45)-1)/2)</f>
        <v>0.9285714285714286</v>
      </c>
      <c r="AK36" s="151"/>
      <c r="AL36" s="67">
        <f>IF(AI35=AJ35,"","計算間違い")</f>
      </c>
      <c r="AM36" s="1"/>
      <c r="AN36" s="1"/>
      <c r="AO36" s="1"/>
      <c r="AP36" s="67">
        <f>IF(AK35/2=TRUNC(AK35/2,0),"","計算間違い")</f>
      </c>
      <c r="AQ36" s="1"/>
      <c r="AR36" s="1"/>
      <c r="AS36" s="1"/>
      <c r="AT36" s="1"/>
      <c r="AU36" s="1"/>
    </row>
    <row r="37" spans="1:61" ht="19.5" customHeight="1">
      <c r="A37" s="5"/>
      <c r="B37" s="152" t="str">
        <f>+A38</f>
        <v>馬橋ドリームス</v>
      </c>
      <c r="C37" s="152"/>
      <c r="D37" s="152"/>
      <c r="E37" s="152"/>
      <c r="F37" s="152" t="str">
        <f>+A39</f>
        <v>小金原ビクトリー</v>
      </c>
      <c r="G37" s="152"/>
      <c r="H37" s="152"/>
      <c r="I37" s="152"/>
      <c r="J37" s="152" t="str">
        <f>+A40</f>
        <v>双葉</v>
      </c>
      <c r="K37" s="152"/>
      <c r="L37" s="152"/>
      <c r="M37" s="152"/>
      <c r="N37" s="152" t="str">
        <f>+A41</f>
        <v>流山カージナルス</v>
      </c>
      <c r="O37" s="152"/>
      <c r="P37" s="152"/>
      <c r="Q37" s="152"/>
      <c r="R37" s="152" t="str">
        <f>+A42</f>
        <v>球　人　ズ</v>
      </c>
      <c r="S37" s="152"/>
      <c r="T37" s="152"/>
      <c r="U37" s="152"/>
      <c r="V37" s="152" t="str">
        <f>+A43</f>
        <v>新富少年野球部</v>
      </c>
      <c r="W37" s="152"/>
      <c r="X37" s="152"/>
      <c r="Y37" s="152"/>
      <c r="Z37" s="152" t="str">
        <f>+A44</f>
        <v>サンスパッツ</v>
      </c>
      <c r="AA37" s="152"/>
      <c r="AB37" s="152"/>
      <c r="AC37" s="152"/>
      <c r="AD37" s="152" t="str">
        <f>+A45</f>
        <v>桜台ウィングス</v>
      </c>
      <c r="AE37" s="152"/>
      <c r="AF37" s="152"/>
      <c r="AG37" s="152"/>
      <c r="AH37" s="32" t="s">
        <v>7</v>
      </c>
      <c r="AI37" s="32" t="s">
        <v>8</v>
      </c>
      <c r="AJ37" s="32" t="s">
        <v>9</v>
      </c>
      <c r="AK37" s="33" t="s">
        <v>14</v>
      </c>
      <c r="AL37" s="34" t="s">
        <v>15</v>
      </c>
      <c r="AM37" s="35" t="s">
        <v>16</v>
      </c>
      <c r="AN37" s="36" t="s">
        <v>10</v>
      </c>
      <c r="AO37" s="32" t="s">
        <v>11</v>
      </c>
      <c r="AP37" s="32" t="s">
        <v>12</v>
      </c>
      <c r="AQ37" s="32" t="s">
        <v>13</v>
      </c>
      <c r="AR37" s="1"/>
      <c r="AS37" s="1"/>
      <c r="AU37" s="3" t="s">
        <v>21</v>
      </c>
      <c r="AV37" s="3" t="s">
        <v>22</v>
      </c>
      <c r="BH37" s="3" t="s">
        <v>21</v>
      </c>
      <c r="BI37" s="3" t="s">
        <v>23</v>
      </c>
    </row>
    <row r="38" spans="1:64" ht="19.5" customHeight="1">
      <c r="A38" s="107" t="s">
        <v>103</v>
      </c>
      <c r="B38" s="43"/>
      <c r="C38" s="44"/>
      <c r="D38" s="44"/>
      <c r="E38" s="45"/>
      <c r="F38" s="43"/>
      <c r="G38" s="44">
        <f>IF(E39="","",E39)</f>
        <v>4</v>
      </c>
      <c r="H38" s="44"/>
      <c r="I38" s="45">
        <f>IF(C39="","",C39)</f>
        <v>8</v>
      </c>
      <c r="J38" s="43"/>
      <c r="K38" s="44">
        <f>IF(E40="","",E40)</f>
        <v>1</v>
      </c>
      <c r="L38" s="44"/>
      <c r="M38" s="45">
        <f>IF(C40="","",C40)</f>
        <v>5</v>
      </c>
      <c r="N38" s="43"/>
      <c r="O38" s="44">
        <f>IF(E41="","",E41)</f>
        <v>3</v>
      </c>
      <c r="P38" s="44"/>
      <c r="Q38" s="45">
        <f>IF(C41="","",C41)</f>
        <v>1</v>
      </c>
      <c r="R38" s="43"/>
      <c r="S38" s="44">
        <f>IF(E42="","",E42)</f>
        <v>2</v>
      </c>
      <c r="T38" s="44"/>
      <c r="U38" s="45">
        <f>IF(C42="","",C42)</f>
        <v>3</v>
      </c>
      <c r="V38" s="43"/>
      <c r="W38" s="44">
        <f>IF(E43="","",E43)</f>
        <v>2</v>
      </c>
      <c r="X38" s="44"/>
      <c r="Y38" s="45">
        <f>IF(C43="","",C43)</f>
        <v>11</v>
      </c>
      <c r="Z38" s="43"/>
      <c r="AA38" s="44">
        <f>IF(E44="","",E44)</f>
        <v>8</v>
      </c>
      <c r="AB38" s="44"/>
      <c r="AC38" s="45">
        <f>IF(C44="","",C44)</f>
        <v>5</v>
      </c>
      <c r="AD38" s="43"/>
      <c r="AE38" s="44">
        <f>IF(E45="","",E45)</f>
        <v>6</v>
      </c>
      <c r="AF38" s="44"/>
      <c r="AG38" s="45">
        <f>IF(C45="","",C45)</f>
        <v>9</v>
      </c>
      <c r="AH38" s="37">
        <f aca="true" t="shared" si="75" ref="AH38:AH45">IF(C38&gt;E38,1,0)+IF(G38&gt;I38,1,0)+IF(K38&gt;M38,1,0)+IF(O38&gt;Q38,1,0)+IF(S38&gt;U38,1,0)+IF(W38&gt;Y38,1,0)+IF(AA38&gt;AC38,1,0)+IF(AE38&gt;AG38,1,0)</f>
        <v>2</v>
      </c>
      <c r="AI38" s="37">
        <f>IF(C38&lt;E38,1,0)+IF(G38&lt;I38,1,0)+IF(K38&lt;M38,1,0)+IF(O38&lt;Q38,1,0)+IF(S38&lt;U38,1,0)+IF(W38&lt;Y38,1,0)+IF(AA38&lt;AC38,1,0)+IF(AE38&lt;AG38,1,0)</f>
        <v>5</v>
      </c>
      <c r="AJ38" s="37">
        <f>IF(AND(ISNUMBER(C38),C38=E38),1,0)+IF(AND(ISNUMBER(G38),G38=I38),1,0)+IF(AND(ISNUMBER(K38),K38=M38),1,)+IF(AND(ISNUMBER(O38),O38=Q38),1,0)+IF(AND(ISNUMBER(S38),S38=U38),1,0)+IF(AND(ISNUMBER(W38),W38=Y38),1,0)+IF(AND(ISNUMBER(AA38),AA38=AC38),1,0)+IF(AND(ISNUMBER(AE38),AE38=AG38),1,0)</f>
        <v>0</v>
      </c>
      <c r="AK38" s="38">
        <f>AH38*2</f>
        <v>4</v>
      </c>
      <c r="AL38" s="39">
        <f>AI38*0</f>
        <v>0</v>
      </c>
      <c r="AM38" s="40">
        <f>AJ38*1</f>
        <v>0</v>
      </c>
      <c r="AN38" s="41">
        <f>AK38+AL38+AM38</f>
        <v>4</v>
      </c>
      <c r="AO38" s="37">
        <f>IF(ISNUMBER(G38),G38,0)+IF(ISNUMBER(K38),K38,0)+IF(ISNUMBER(O38),O38,0)+IF(ISNUMBER(AA38),AA38,0)+IF(ISNUMBER(AE38),AE38,0)+IF(ISNUMBER(S38),S38,0)+IF(ISNUMBER(W38),W38,0)+IF(ISNUMBER(C38),C38,0)</f>
        <v>26</v>
      </c>
      <c r="AP38" s="37">
        <f>IF(ISNUMBER(I38),I38,0)+IF(ISNUMBER(M38),M38,0)+IF(ISNUMBER(Q38),Q38,0)+IF(ISNUMBER(AC38),AC38,0)+IF(ISNUMBER(AG38),AG38,0)+IF(ISNUMBER(U38),U38,0)+IF(ISNUMBER(Y38),Y38,0)+IF(ISNUMBER(E38),E38,0)</f>
        <v>42</v>
      </c>
      <c r="AQ38" s="37">
        <f aca="true" t="shared" si="76" ref="AQ38:AQ44">AO38-AP38</f>
        <v>-16</v>
      </c>
      <c r="AR38" s="1"/>
      <c r="AS38" s="1"/>
      <c r="AT38" s="49">
        <f>AY38+COUNTIF(AY$37:AY37,AY38)</f>
        <v>6</v>
      </c>
      <c r="AU38" s="51" t="str">
        <f>+A38</f>
        <v>馬橋ドリームス</v>
      </c>
      <c r="AV38" s="49">
        <f>+AN38</f>
        <v>4</v>
      </c>
      <c r="AW38" s="49">
        <f>+AH38</f>
        <v>2</v>
      </c>
      <c r="AX38" s="49">
        <f>+AH38+AI38+AJ38</f>
        <v>7</v>
      </c>
      <c r="AY38" s="49">
        <f>RANK(AV38,AV$38:AV$45)</f>
        <v>6</v>
      </c>
      <c r="AZ38" s="50">
        <f>VLOOKUP(ROW(AX1),$AT$38:$AY$45,6,FALSE)</f>
        <v>1</v>
      </c>
      <c r="BA38" s="52" t="str">
        <f>VLOOKUP(ROW(AX1),$AT$38:$AY$45,2,FALSE)</f>
        <v>小金原ビクトリー</v>
      </c>
      <c r="BB38" s="52">
        <f>VLOOKUP(ROW(AX1),$AT$38:$AY$45,3,FALSE)</f>
        <v>10</v>
      </c>
      <c r="BC38" s="52">
        <f>VLOOKUP(ROW(AX1),$AT$38:$AY$45,4,FALSE)</f>
        <v>5</v>
      </c>
      <c r="BD38" s="52">
        <f>VLOOKUP(ROW(AX1),$AT$38:$AY$45,5,FALSE)</f>
        <v>7</v>
      </c>
      <c r="BE38" s="62"/>
      <c r="BG38" s="49">
        <f>BJ38+COUNTIF(BJ$37:BJ37,BJ38)</f>
        <v>1</v>
      </c>
      <c r="BH38" s="51" t="str">
        <f>+AU38</f>
        <v>馬橋ドリームス</v>
      </c>
      <c r="BI38" s="49">
        <f>COUNT(B38:AG38)/2</f>
        <v>7</v>
      </c>
      <c r="BJ38" s="49">
        <f>RANK(BI38,BI$38:BI$45)</f>
        <v>1</v>
      </c>
      <c r="BK38" s="50">
        <f>VLOOKUP(ROW(BK1),$BG$38:$BJ$45,4,FALSE)</f>
        <v>1</v>
      </c>
      <c r="BL38" s="52" t="str">
        <f>VLOOKUP(ROW(BL1),$BG$38:$BJ$45,2,FALSE)</f>
        <v>馬橋ドリームス</v>
      </c>
    </row>
    <row r="39" spans="1:64" ht="19.5" customHeight="1">
      <c r="A39" s="107" t="s">
        <v>75</v>
      </c>
      <c r="B39" s="43"/>
      <c r="C39" s="44">
        <v>8</v>
      </c>
      <c r="D39" s="44"/>
      <c r="E39" s="45">
        <v>4</v>
      </c>
      <c r="F39" s="43"/>
      <c r="G39" s="44"/>
      <c r="H39" s="44"/>
      <c r="I39" s="45"/>
      <c r="J39" s="43"/>
      <c r="K39" s="44">
        <f>IF(I40="","",I40)</f>
        <v>3</v>
      </c>
      <c r="L39" s="44"/>
      <c r="M39" s="45">
        <f>IF(G40="","",G40)</f>
        <v>4</v>
      </c>
      <c r="N39" s="43"/>
      <c r="O39" s="44">
        <f>IF(I41="","",I41)</f>
        <v>9</v>
      </c>
      <c r="P39" s="44"/>
      <c r="Q39" s="45">
        <f>IF(G41="","",G41)</f>
        <v>2</v>
      </c>
      <c r="R39" s="43"/>
      <c r="S39" s="44">
        <f>IF(I42="","",I42)</f>
        <v>3</v>
      </c>
      <c r="T39" s="44"/>
      <c r="U39" s="45">
        <f>IF(G42="","",G42)</f>
        <v>6</v>
      </c>
      <c r="V39" s="43"/>
      <c r="W39" s="44">
        <f>IF(I43="","",I43)</f>
        <v>7</v>
      </c>
      <c r="X39" s="44"/>
      <c r="Y39" s="45">
        <f>IF(G43="","",G43)</f>
        <v>5</v>
      </c>
      <c r="Z39" s="43"/>
      <c r="AA39" s="44">
        <f>IF(I44="","",I44)</f>
        <v>5</v>
      </c>
      <c r="AB39" s="44"/>
      <c r="AC39" s="45">
        <f>IF(G44="","",G44)</f>
        <v>0</v>
      </c>
      <c r="AD39" s="43"/>
      <c r="AE39" s="44">
        <f>IF(I45="","",I45)</f>
        <v>24</v>
      </c>
      <c r="AF39" s="44"/>
      <c r="AG39" s="45">
        <f>IF(G45="","",G45)</f>
        <v>0</v>
      </c>
      <c r="AH39" s="37">
        <f t="shared" si="75"/>
        <v>5</v>
      </c>
      <c r="AI39" s="37">
        <f aca="true" t="shared" si="77" ref="AI39:AI44">IF(C39&lt;E39,1,0)+IF(G39&lt;I39,1,0)+IF(K39&lt;M39,1,0)+IF(O39&lt;Q39,1,0)+IF(S39&lt;U39,1,0)+IF(W39&lt;Y39,1,0)+IF(AA39&lt;AC39,1,0)+IF(AE39&lt;AG39,1,0)</f>
        <v>2</v>
      </c>
      <c r="AJ39" s="37">
        <f aca="true" t="shared" si="78" ref="AJ39:AJ44">IF(AND(ISNUMBER(C39),C39=E39),1,0)+IF(AND(ISNUMBER(G39),G39=I39),1,0)+IF(AND(ISNUMBER(K39),K39=M39),1,)+IF(AND(ISNUMBER(O39),O39=Q39),1,0)+IF(AND(ISNUMBER(S39),S39=U39),1,0)+IF(AND(ISNUMBER(W39),W39=Y39),1,0)+IF(AND(ISNUMBER(AA39),AA39=AC39),1,0)+IF(AND(ISNUMBER(AE39),AE39=AG39),1,0)</f>
        <v>0</v>
      </c>
      <c r="AK39" s="38">
        <f aca="true" t="shared" si="79" ref="AK39:AK44">AH39*2</f>
        <v>10</v>
      </c>
      <c r="AL39" s="39">
        <f aca="true" t="shared" si="80" ref="AL39:AL44">AI39*0</f>
        <v>0</v>
      </c>
      <c r="AM39" s="40">
        <f aca="true" t="shared" si="81" ref="AM39:AM44">AJ39*1</f>
        <v>0</v>
      </c>
      <c r="AN39" s="41">
        <f aca="true" t="shared" si="82" ref="AN39:AN44">AK39+AL39+AM39</f>
        <v>10</v>
      </c>
      <c r="AO39" s="37">
        <f aca="true" t="shared" si="83" ref="AO39:AO44">IF(ISNUMBER(G39),G39,0)+IF(ISNUMBER(K39),K39,0)+IF(ISNUMBER(O39),O39,0)+IF(ISNUMBER(AA39),AA39,0)+IF(ISNUMBER(AE39),AE39,0)+IF(ISNUMBER(S39),S39,0)+IF(ISNUMBER(W39),W39,0)+IF(ISNUMBER(C39),C39,0)</f>
        <v>59</v>
      </c>
      <c r="AP39" s="37">
        <f aca="true" t="shared" si="84" ref="AP39:AP44">IF(ISNUMBER(I39),I39,0)+IF(ISNUMBER(M39),M39,0)+IF(ISNUMBER(Q39),Q39,0)+IF(ISNUMBER(AC39),AC39,0)+IF(ISNUMBER(AG39),AG39,0)+IF(ISNUMBER(U39),U39,0)+IF(ISNUMBER(Y39),Y39,0)+IF(ISNUMBER(E39),E39,0)</f>
        <v>21</v>
      </c>
      <c r="AQ39" s="32">
        <f t="shared" si="76"/>
        <v>38</v>
      </c>
      <c r="AR39" s="1"/>
      <c r="AS39" s="1"/>
      <c r="AT39" s="49">
        <f>AY39+COUNTIF(AY$37:AY38,AY39)</f>
        <v>1</v>
      </c>
      <c r="AU39" s="51" t="str">
        <f aca="true" t="shared" si="85" ref="AU39:AU45">+A39</f>
        <v>小金原ビクトリー</v>
      </c>
      <c r="AV39" s="49">
        <f aca="true" t="shared" si="86" ref="AV39:AV45">+AN39</f>
        <v>10</v>
      </c>
      <c r="AW39" s="49">
        <f aca="true" t="shared" si="87" ref="AW39:AW45">+AH39</f>
        <v>5</v>
      </c>
      <c r="AX39" s="49">
        <f aca="true" t="shared" si="88" ref="AX39:AX45">+AH39+AI39+AJ39</f>
        <v>7</v>
      </c>
      <c r="AY39" s="49">
        <f aca="true" t="shared" si="89" ref="AY39:AY45">RANK(AV39,AV$38:AV$45)</f>
        <v>1</v>
      </c>
      <c r="AZ39" s="50">
        <f>VLOOKUP(ROW(AX2),$AT$38:$AY$45,6,FALSE)</f>
        <v>1</v>
      </c>
      <c r="BA39" s="52" t="str">
        <f>VLOOKUP(ROW(AX2),$AT$38:$AY$45,2,FALSE)</f>
        <v>球　人　ズ</v>
      </c>
      <c r="BB39" s="52">
        <f>VLOOKUP(ROW(AX2),$AT$38:$AY$45,3,FALSE)</f>
        <v>10</v>
      </c>
      <c r="BC39" s="52">
        <f>VLOOKUP(ROW(AX2),$AT$38:$AY$45,4,FALSE)</f>
        <v>4</v>
      </c>
      <c r="BD39" s="52">
        <f>VLOOKUP(ROW(AX2),$AT$38:$AY$45,5,FALSE)</f>
        <v>7</v>
      </c>
      <c r="BE39" s="62"/>
      <c r="BG39" s="49">
        <f>BJ39+COUNTIF(BJ$37:BJ38,BJ39)</f>
        <v>2</v>
      </c>
      <c r="BH39" s="51" t="str">
        <f aca="true" t="shared" si="90" ref="BH39:BH45">+AU39</f>
        <v>小金原ビクトリー</v>
      </c>
      <c r="BI39" s="49">
        <f aca="true" t="shared" si="91" ref="BI39:BI45">COUNT(B39:AG39)/2</f>
        <v>7</v>
      </c>
      <c r="BJ39" s="49">
        <f aca="true" t="shared" si="92" ref="BJ39:BJ45">RANK(BI39,BI$38:BI$45)</f>
        <v>1</v>
      </c>
      <c r="BK39" s="50">
        <f>VLOOKUP(ROW(BK2),$BG$38:$BJ$45,4,FALSE)</f>
        <v>1</v>
      </c>
      <c r="BL39" s="52" t="str">
        <f>VLOOKUP(ROW(BL2),$BG$38:$BJ$45,2,FALSE)</f>
        <v>小金原ビクトリー</v>
      </c>
    </row>
    <row r="40" spans="1:64" ht="19.5" customHeight="1">
      <c r="A40" s="107" t="s">
        <v>104</v>
      </c>
      <c r="B40" s="43"/>
      <c r="C40" s="44">
        <v>5</v>
      </c>
      <c r="D40" s="44"/>
      <c r="E40" s="45">
        <v>1</v>
      </c>
      <c r="F40" s="43"/>
      <c r="G40" s="44">
        <v>4</v>
      </c>
      <c r="H40" s="44"/>
      <c r="I40" s="45">
        <v>3</v>
      </c>
      <c r="J40" s="43"/>
      <c r="K40" s="44"/>
      <c r="L40" s="44"/>
      <c r="M40" s="45"/>
      <c r="N40" s="43"/>
      <c r="O40" s="44">
        <f>IF(M41="","",M41)</f>
        <v>7</v>
      </c>
      <c r="P40" s="44"/>
      <c r="Q40" s="45">
        <f>IF(K41="","",K41)</f>
        <v>4</v>
      </c>
      <c r="R40" s="43"/>
      <c r="S40" s="44">
        <f>IF(M42="","",M42)</f>
        <v>3</v>
      </c>
      <c r="T40" s="44"/>
      <c r="U40" s="45">
        <f>IF(K42="","",K42)</f>
        <v>3</v>
      </c>
      <c r="V40" s="43"/>
      <c r="W40" s="44">
        <f>IF(M43="","",M43)</f>
        <v>3</v>
      </c>
      <c r="X40" s="44"/>
      <c r="Y40" s="45">
        <f>IF(K43="","",K43)</f>
        <v>4</v>
      </c>
      <c r="Z40" s="43"/>
      <c r="AA40" s="44">
        <f>IF(M44="","",M44)</f>
      </c>
      <c r="AB40" s="44"/>
      <c r="AC40" s="45">
        <f>IF(K44="","",K44)</f>
      </c>
      <c r="AD40" s="43"/>
      <c r="AE40" s="44">
        <f>IF(M45="","",M45)</f>
        <v>8</v>
      </c>
      <c r="AF40" s="44"/>
      <c r="AG40" s="45">
        <f>IF(K45="","",K45)</f>
        <v>3</v>
      </c>
      <c r="AH40" s="37">
        <f t="shared" si="75"/>
        <v>4</v>
      </c>
      <c r="AI40" s="37">
        <f t="shared" si="77"/>
        <v>1</v>
      </c>
      <c r="AJ40" s="37">
        <f t="shared" si="78"/>
        <v>1</v>
      </c>
      <c r="AK40" s="38">
        <f t="shared" si="79"/>
        <v>8</v>
      </c>
      <c r="AL40" s="39">
        <f t="shared" si="80"/>
        <v>0</v>
      </c>
      <c r="AM40" s="40">
        <f t="shared" si="81"/>
        <v>1</v>
      </c>
      <c r="AN40" s="41">
        <f t="shared" si="82"/>
        <v>9</v>
      </c>
      <c r="AO40" s="37">
        <f t="shared" si="83"/>
        <v>30</v>
      </c>
      <c r="AP40" s="37">
        <f t="shared" si="84"/>
        <v>18</v>
      </c>
      <c r="AQ40" s="42">
        <f t="shared" si="76"/>
        <v>12</v>
      </c>
      <c r="AR40" s="1"/>
      <c r="AS40" s="1"/>
      <c r="AT40" s="49">
        <f>AY40+COUNTIF(AY$37:AY39,AY40)</f>
        <v>4</v>
      </c>
      <c r="AU40" s="51" t="str">
        <f t="shared" si="85"/>
        <v>双葉</v>
      </c>
      <c r="AV40" s="49">
        <f t="shared" si="86"/>
        <v>9</v>
      </c>
      <c r="AW40" s="49">
        <f t="shared" si="87"/>
        <v>4</v>
      </c>
      <c r="AX40" s="49">
        <f t="shared" si="88"/>
        <v>6</v>
      </c>
      <c r="AY40" s="49">
        <f t="shared" si="89"/>
        <v>4</v>
      </c>
      <c r="AZ40" s="50">
        <f aca="true" t="shared" si="93" ref="AZ40:AZ45">VLOOKUP(ROW(AT3),$AT$38:$AY$45,6,FALSE)</f>
        <v>1</v>
      </c>
      <c r="BA40" s="52" t="str">
        <f aca="true" t="shared" si="94" ref="BA40:BA45">VLOOKUP(ROW(AT3),$AT$38:$AY$45,2,FALSE)</f>
        <v>新富少年野球部</v>
      </c>
      <c r="BB40" s="52">
        <f aca="true" t="shared" si="95" ref="BB40:BB45">VLOOKUP(ROW(AT3),$AT$38:$AY$45,3,FALSE)</f>
        <v>10</v>
      </c>
      <c r="BC40" s="52">
        <f aca="true" t="shared" si="96" ref="BC40:BC45">VLOOKUP(ROW(AT3),$AT$38:$AY$45,4,FALSE)</f>
        <v>5</v>
      </c>
      <c r="BD40" s="52">
        <f aca="true" t="shared" si="97" ref="BD40:BD45">VLOOKUP(ROW(AT3),$AT$38:$AY$45,5,FALSE)</f>
        <v>7</v>
      </c>
      <c r="BE40" s="62"/>
      <c r="BG40" s="49">
        <f>BJ40+COUNTIF(BJ$37:BJ39,BJ40)</f>
        <v>6</v>
      </c>
      <c r="BH40" s="51" t="str">
        <f t="shared" si="90"/>
        <v>双葉</v>
      </c>
      <c r="BI40" s="49">
        <f t="shared" si="91"/>
        <v>6</v>
      </c>
      <c r="BJ40" s="49">
        <f t="shared" si="92"/>
        <v>6</v>
      </c>
      <c r="BK40" s="50">
        <f aca="true" t="shared" si="98" ref="BK40:BK45">VLOOKUP(ROW(BG3),$BG$38:$BJ$45,4,FALSE)</f>
        <v>1</v>
      </c>
      <c r="BL40" s="52" t="str">
        <f aca="true" t="shared" si="99" ref="BL40:BL45">VLOOKUP(ROW(BH3),$BG$38:$BJ$45,2,FALSE)</f>
        <v>球　人　ズ</v>
      </c>
    </row>
    <row r="41" spans="1:64" ht="19.5" customHeight="1">
      <c r="A41" s="107" t="s">
        <v>105</v>
      </c>
      <c r="B41" s="43"/>
      <c r="C41" s="44">
        <v>1</v>
      </c>
      <c r="D41" s="44"/>
      <c r="E41" s="45">
        <v>3</v>
      </c>
      <c r="F41" s="43"/>
      <c r="G41" s="44">
        <v>2</v>
      </c>
      <c r="H41" s="44"/>
      <c r="I41" s="45">
        <v>9</v>
      </c>
      <c r="J41" s="43"/>
      <c r="K41" s="44">
        <v>4</v>
      </c>
      <c r="L41" s="44"/>
      <c r="M41" s="45">
        <v>7</v>
      </c>
      <c r="N41" s="43"/>
      <c r="O41" s="44"/>
      <c r="P41" s="44"/>
      <c r="Q41" s="45"/>
      <c r="R41" s="43"/>
      <c r="S41" s="44">
        <f>IF(Q42="","",Q42)</f>
        <v>1</v>
      </c>
      <c r="T41" s="44"/>
      <c r="U41" s="45">
        <f>IF(O42="","",O42)</f>
        <v>1</v>
      </c>
      <c r="V41" s="43"/>
      <c r="W41" s="44">
        <f>IF(Q43="","",Q43)</f>
        <v>6</v>
      </c>
      <c r="X41" s="44"/>
      <c r="Y41" s="45">
        <f>IF(O43="","",O43)</f>
        <v>5</v>
      </c>
      <c r="Z41" s="43"/>
      <c r="AA41" s="44">
        <f>IF(Q44="","",Q44)</f>
      </c>
      <c r="AB41" s="44"/>
      <c r="AC41" s="45">
        <f>IF(O44="","",O44)</f>
      </c>
      <c r="AD41" s="43"/>
      <c r="AE41" s="44">
        <f>IF(Q45="","",Q45)</f>
        <v>4</v>
      </c>
      <c r="AF41" s="44"/>
      <c r="AG41" s="45">
        <f>IF(O45="","",O45)</f>
        <v>0</v>
      </c>
      <c r="AH41" s="37">
        <f t="shared" si="75"/>
        <v>2</v>
      </c>
      <c r="AI41" s="37">
        <f t="shared" si="77"/>
        <v>3</v>
      </c>
      <c r="AJ41" s="37">
        <f t="shared" si="78"/>
        <v>1</v>
      </c>
      <c r="AK41" s="38">
        <f t="shared" si="79"/>
        <v>4</v>
      </c>
      <c r="AL41" s="39">
        <f t="shared" si="80"/>
        <v>0</v>
      </c>
      <c r="AM41" s="40">
        <f t="shared" si="81"/>
        <v>1</v>
      </c>
      <c r="AN41" s="41">
        <f t="shared" si="82"/>
        <v>5</v>
      </c>
      <c r="AO41" s="37">
        <f t="shared" si="83"/>
        <v>18</v>
      </c>
      <c r="AP41" s="37">
        <f t="shared" si="84"/>
        <v>25</v>
      </c>
      <c r="AQ41" s="32">
        <f t="shared" si="76"/>
        <v>-7</v>
      </c>
      <c r="AR41" s="1"/>
      <c r="AS41" s="1"/>
      <c r="AT41" s="49">
        <f>AY41+COUNTIF(AY$37:AY40,AY41)</f>
        <v>5</v>
      </c>
      <c r="AU41" s="51" t="str">
        <f t="shared" si="85"/>
        <v>流山カージナルス</v>
      </c>
      <c r="AV41" s="49">
        <f t="shared" si="86"/>
        <v>5</v>
      </c>
      <c r="AW41" s="49">
        <f t="shared" si="87"/>
        <v>2</v>
      </c>
      <c r="AX41" s="49">
        <f t="shared" si="88"/>
        <v>6</v>
      </c>
      <c r="AY41" s="49">
        <f t="shared" si="89"/>
        <v>5</v>
      </c>
      <c r="AZ41" s="50">
        <f t="shared" si="93"/>
        <v>4</v>
      </c>
      <c r="BA41" s="52" t="str">
        <f t="shared" si="94"/>
        <v>双葉</v>
      </c>
      <c r="BB41" s="52">
        <f t="shared" si="95"/>
        <v>9</v>
      </c>
      <c r="BC41" s="52">
        <f t="shared" si="96"/>
        <v>4</v>
      </c>
      <c r="BD41" s="52">
        <f t="shared" si="97"/>
        <v>6</v>
      </c>
      <c r="BE41" s="62"/>
      <c r="BG41" s="49">
        <f>BJ41+COUNTIF(BJ$37:BJ40,BJ41)</f>
        <v>7</v>
      </c>
      <c r="BH41" s="51" t="str">
        <f t="shared" si="90"/>
        <v>流山カージナルス</v>
      </c>
      <c r="BI41" s="49">
        <f t="shared" si="91"/>
        <v>6</v>
      </c>
      <c r="BJ41" s="49">
        <f t="shared" si="92"/>
        <v>6</v>
      </c>
      <c r="BK41" s="50">
        <f t="shared" si="98"/>
        <v>1</v>
      </c>
      <c r="BL41" s="52" t="str">
        <f t="shared" si="99"/>
        <v>新富少年野球部</v>
      </c>
    </row>
    <row r="42" spans="1:64" ht="19.5" customHeight="1">
      <c r="A42" s="107" t="s">
        <v>106</v>
      </c>
      <c r="B42" s="43"/>
      <c r="C42" s="44">
        <v>3</v>
      </c>
      <c r="D42" s="44"/>
      <c r="E42" s="45">
        <v>2</v>
      </c>
      <c r="F42" s="43"/>
      <c r="G42" s="44">
        <v>6</v>
      </c>
      <c r="H42" s="44"/>
      <c r="I42" s="45">
        <v>3</v>
      </c>
      <c r="J42" s="43"/>
      <c r="K42" s="44">
        <v>3</v>
      </c>
      <c r="L42" s="44"/>
      <c r="M42" s="45">
        <v>3</v>
      </c>
      <c r="N42" s="43"/>
      <c r="O42" s="44">
        <v>1</v>
      </c>
      <c r="P42" s="44"/>
      <c r="Q42" s="45">
        <v>1</v>
      </c>
      <c r="R42" s="43"/>
      <c r="S42" s="44"/>
      <c r="T42" s="44"/>
      <c r="U42" s="45"/>
      <c r="V42" s="43"/>
      <c r="W42" s="44">
        <f>IF(U43="","",U43)</f>
        <v>3</v>
      </c>
      <c r="X42" s="44"/>
      <c r="Y42" s="45">
        <f>IF(S43="","",S43)</f>
        <v>5</v>
      </c>
      <c r="Z42" s="43"/>
      <c r="AA42" s="44">
        <f>IF(U44="","",U44)</f>
        <v>8</v>
      </c>
      <c r="AB42" s="44"/>
      <c r="AC42" s="45">
        <f>IF(S44="","",S44)</f>
        <v>2</v>
      </c>
      <c r="AD42" s="43"/>
      <c r="AE42" s="44">
        <f>IF(U45="","",U45)</f>
        <v>5</v>
      </c>
      <c r="AF42" s="44"/>
      <c r="AG42" s="45">
        <f>IF(S45="","",S45)</f>
        <v>1</v>
      </c>
      <c r="AH42" s="37">
        <f t="shared" si="75"/>
        <v>4</v>
      </c>
      <c r="AI42" s="37">
        <f t="shared" si="77"/>
        <v>1</v>
      </c>
      <c r="AJ42" s="37">
        <f t="shared" si="78"/>
        <v>2</v>
      </c>
      <c r="AK42" s="38">
        <f t="shared" si="79"/>
        <v>8</v>
      </c>
      <c r="AL42" s="39">
        <f t="shared" si="80"/>
        <v>0</v>
      </c>
      <c r="AM42" s="40">
        <f t="shared" si="81"/>
        <v>2</v>
      </c>
      <c r="AN42" s="41">
        <f t="shared" si="82"/>
        <v>10</v>
      </c>
      <c r="AO42" s="37">
        <f t="shared" si="83"/>
        <v>29</v>
      </c>
      <c r="AP42" s="37">
        <f t="shared" si="84"/>
        <v>17</v>
      </c>
      <c r="AQ42" s="32">
        <f t="shared" si="76"/>
        <v>12</v>
      </c>
      <c r="AR42" s="1"/>
      <c r="AS42" s="1"/>
      <c r="AT42" s="49">
        <f>AY42+COUNTIF(AY$37:AY41,AY42)</f>
        <v>2</v>
      </c>
      <c r="AU42" s="51" t="str">
        <f t="shared" si="85"/>
        <v>球　人　ズ</v>
      </c>
      <c r="AV42" s="49">
        <f t="shared" si="86"/>
        <v>10</v>
      </c>
      <c r="AW42" s="49">
        <f t="shared" si="87"/>
        <v>4</v>
      </c>
      <c r="AX42" s="49">
        <f t="shared" si="88"/>
        <v>7</v>
      </c>
      <c r="AY42" s="49">
        <f t="shared" si="89"/>
        <v>1</v>
      </c>
      <c r="AZ42" s="50">
        <f t="shared" si="93"/>
        <v>5</v>
      </c>
      <c r="BA42" s="52" t="str">
        <f t="shared" si="94"/>
        <v>流山カージナルス</v>
      </c>
      <c r="BB42" s="52">
        <f t="shared" si="95"/>
        <v>5</v>
      </c>
      <c r="BC42" s="52">
        <f t="shared" si="96"/>
        <v>2</v>
      </c>
      <c r="BD42" s="52">
        <f t="shared" si="97"/>
        <v>6</v>
      </c>
      <c r="BE42" s="62"/>
      <c r="BG42" s="49">
        <f>BJ42+COUNTIF(BJ$37:BJ41,BJ42)</f>
        <v>3</v>
      </c>
      <c r="BH42" s="51" t="str">
        <f t="shared" si="90"/>
        <v>球　人　ズ</v>
      </c>
      <c r="BI42" s="49">
        <f t="shared" si="91"/>
        <v>7</v>
      </c>
      <c r="BJ42" s="49">
        <f t="shared" si="92"/>
        <v>1</v>
      </c>
      <c r="BK42" s="50">
        <f t="shared" si="98"/>
        <v>1</v>
      </c>
      <c r="BL42" s="52" t="str">
        <f t="shared" si="99"/>
        <v>桜台ウィングス</v>
      </c>
    </row>
    <row r="43" spans="1:64" ht="19.5" customHeight="1">
      <c r="A43" s="107" t="s">
        <v>107</v>
      </c>
      <c r="B43" s="43"/>
      <c r="C43" s="44">
        <v>11</v>
      </c>
      <c r="D43" s="44"/>
      <c r="E43" s="45">
        <v>2</v>
      </c>
      <c r="F43" s="43"/>
      <c r="G43" s="44">
        <v>5</v>
      </c>
      <c r="H43" s="44"/>
      <c r="I43" s="45">
        <v>7</v>
      </c>
      <c r="J43" s="43"/>
      <c r="K43" s="44">
        <v>4</v>
      </c>
      <c r="L43" s="44"/>
      <c r="M43" s="45">
        <v>3</v>
      </c>
      <c r="N43" s="43"/>
      <c r="O43" s="44">
        <v>5</v>
      </c>
      <c r="P43" s="44"/>
      <c r="Q43" s="45">
        <v>6</v>
      </c>
      <c r="R43" s="43"/>
      <c r="S43" s="44">
        <v>5</v>
      </c>
      <c r="T43" s="44"/>
      <c r="U43" s="45">
        <v>3</v>
      </c>
      <c r="V43" s="43"/>
      <c r="W43" s="44"/>
      <c r="X43" s="44"/>
      <c r="Y43" s="45"/>
      <c r="Z43" s="43"/>
      <c r="AA43" s="44">
        <f>IF(Y44="","",Y44)</f>
        <v>8</v>
      </c>
      <c r="AB43" s="44"/>
      <c r="AC43" s="45">
        <f>IF(W44="","",W44)</f>
        <v>3</v>
      </c>
      <c r="AD43" s="43"/>
      <c r="AE43" s="44">
        <f>IF(Y45="","",Y45)</f>
        <v>7</v>
      </c>
      <c r="AF43" s="44"/>
      <c r="AG43" s="45">
        <f>IF(W45="","",W45)</f>
        <v>1</v>
      </c>
      <c r="AH43" s="37">
        <f t="shared" si="75"/>
        <v>5</v>
      </c>
      <c r="AI43" s="37">
        <f t="shared" si="77"/>
        <v>2</v>
      </c>
      <c r="AJ43" s="37">
        <f t="shared" si="78"/>
        <v>0</v>
      </c>
      <c r="AK43" s="38">
        <f t="shared" si="79"/>
        <v>10</v>
      </c>
      <c r="AL43" s="39">
        <f t="shared" si="80"/>
        <v>0</v>
      </c>
      <c r="AM43" s="40">
        <f t="shared" si="81"/>
        <v>0</v>
      </c>
      <c r="AN43" s="41">
        <f t="shared" si="82"/>
        <v>10</v>
      </c>
      <c r="AO43" s="37">
        <f t="shared" si="83"/>
        <v>45</v>
      </c>
      <c r="AP43" s="37">
        <f t="shared" si="84"/>
        <v>25</v>
      </c>
      <c r="AQ43" s="37">
        <f t="shared" si="76"/>
        <v>20</v>
      </c>
      <c r="AR43" s="1"/>
      <c r="AS43" s="1"/>
      <c r="AT43" s="49">
        <f>AY43+COUNTIF(AY$37:AY42,AY43)</f>
        <v>3</v>
      </c>
      <c r="AU43" s="51" t="str">
        <f t="shared" si="85"/>
        <v>新富少年野球部</v>
      </c>
      <c r="AV43" s="49">
        <f t="shared" si="86"/>
        <v>10</v>
      </c>
      <c r="AW43" s="49">
        <f t="shared" si="87"/>
        <v>5</v>
      </c>
      <c r="AX43" s="49">
        <f t="shared" si="88"/>
        <v>7</v>
      </c>
      <c r="AY43" s="49">
        <f t="shared" si="89"/>
        <v>1</v>
      </c>
      <c r="AZ43" s="50">
        <f t="shared" si="93"/>
        <v>6</v>
      </c>
      <c r="BA43" s="52" t="str">
        <f t="shared" si="94"/>
        <v>馬橋ドリームス</v>
      </c>
      <c r="BB43" s="52">
        <f t="shared" si="95"/>
        <v>4</v>
      </c>
      <c r="BC43" s="52">
        <f t="shared" si="96"/>
        <v>2</v>
      </c>
      <c r="BD43" s="52">
        <f t="shared" si="97"/>
        <v>7</v>
      </c>
      <c r="BE43" s="62"/>
      <c r="BG43" s="49">
        <f>BJ43+COUNTIF(BJ$37:BJ42,BJ43)</f>
        <v>4</v>
      </c>
      <c r="BH43" s="51" t="str">
        <f t="shared" si="90"/>
        <v>新富少年野球部</v>
      </c>
      <c r="BI43" s="49">
        <f t="shared" si="91"/>
        <v>7</v>
      </c>
      <c r="BJ43" s="49">
        <f t="shared" si="92"/>
        <v>1</v>
      </c>
      <c r="BK43" s="50">
        <f t="shared" si="98"/>
        <v>6</v>
      </c>
      <c r="BL43" s="52" t="str">
        <f t="shared" si="99"/>
        <v>双葉</v>
      </c>
    </row>
    <row r="44" spans="1:64" ht="19.5" customHeight="1">
      <c r="A44" s="107" t="s">
        <v>108</v>
      </c>
      <c r="B44" s="43"/>
      <c r="C44" s="44">
        <v>5</v>
      </c>
      <c r="D44" s="44"/>
      <c r="E44" s="45">
        <v>8</v>
      </c>
      <c r="F44" s="43"/>
      <c r="G44" s="44">
        <v>0</v>
      </c>
      <c r="H44" s="44"/>
      <c r="I44" s="45">
        <v>5</v>
      </c>
      <c r="J44" s="43"/>
      <c r="K44" s="44"/>
      <c r="L44" s="44"/>
      <c r="M44" s="45"/>
      <c r="N44" s="43"/>
      <c r="O44" s="44"/>
      <c r="P44" s="44"/>
      <c r="Q44" s="45"/>
      <c r="R44" s="43"/>
      <c r="S44" s="44">
        <v>2</v>
      </c>
      <c r="T44" s="44"/>
      <c r="U44" s="45">
        <v>8</v>
      </c>
      <c r="V44" s="43"/>
      <c r="W44" s="44">
        <v>3</v>
      </c>
      <c r="X44" s="44"/>
      <c r="Y44" s="45">
        <v>8</v>
      </c>
      <c r="Z44" s="43"/>
      <c r="AA44" s="44"/>
      <c r="AB44" s="44"/>
      <c r="AC44" s="45"/>
      <c r="AD44" s="43"/>
      <c r="AE44" s="44">
        <f>IF(AC45="","",AC45)</f>
        <v>3</v>
      </c>
      <c r="AF44" s="44"/>
      <c r="AG44" s="45">
        <f>IF(AA45="","",AA45)</f>
        <v>4</v>
      </c>
      <c r="AH44" s="37">
        <f t="shared" si="75"/>
        <v>0</v>
      </c>
      <c r="AI44" s="37">
        <f t="shared" si="77"/>
        <v>5</v>
      </c>
      <c r="AJ44" s="37">
        <f t="shared" si="78"/>
        <v>0</v>
      </c>
      <c r="AK44" s="38">
        <f t="shared" si="79"/>
        <v>0</v>
      </c>
      <c r="AL44" s="39">
        <f t="shared" si="80"/>
        <v>0</v>
      </c>
      <c r="AM44" s="40">
        <f t="shared" si="81"/>
        <v>0</v>
      </c>
      <c r="AN44" s="41">
        <f t="shared" si="82"/>
        <v>0</v>
      </c>
      <c r="AO44" s="37">
        <f t="shared" si="83"/>
        <v>13</v>
      </c>
      <c r="AP44" s="37">
        <f t="shared" si="84"/>
        <v>33</v>
      </c>
      <c r="AQ44" s="37">
        <f t="shared" si="76"/>
        <v>-20</v>
      </c>
      <c r="AR44" s="1"/>
      <c r="AS44" s="1"/>
      <c r="AT44" s="49">
        <f>AY44+COUNTIF(AY$37:AY43,AY44)</f>
        <v>8</v>
      </c>
      <c r="AU44" s="51" t="str">
        <f t="shared" si="85"/>
        <v>サンスパッツ</v>
      </c>
      <c r="AV44" s="49">
        <f t="shared" si="86"/>
        <v>0</v>
      </c>
      <c r="AW44" s="49">
        <f t="shared" si="87"/>
        <v>0</v>
      </c>
      <c r="AX44" s="49">
        <f t="shared" si="88"/>
        <v>5</v>
      </c>
      <c r="AY44" s="49">
        <f t="shared" si="89"/>
        <v>8</v>
      </c>
      <c r="AZ44" s="50">
        <f t="shared" si="93"/>
        <v>6</v>
      </c>
      <c r="BA44" s="52" t="str">
        <f t="shared" si="94"/>
        <v>桜台ウィングス</v>
      </c>
      <c r="BB44" s="52">
        <f t="shared" si="95"/>
        <v>4</v>
      </c>
      <c r="BC44" s="52">
        <f t="shared" si="96"/>
        <v>2</v>
      </c>
      <c r="BD44" s="52">
        <f t="shared" si="97"/>
        <v>7</v>
      </c>
      <c r="BE44" s="62"/>
      <c r="BG44" s="49">
        <f>BJ44+COUNTIF(BJ$37:BJ43,BJ44)</f>
        <v>8</v>
      </c>
      <c r="BH44" s="51" t="str">
        <f t="shared" si="90"/>
        <v>サンスパッツ</v>
      </c>
      <c r="BI44" s="49">
        <f t="shared" si="91"/>
        <v>5</v>
      </c>
      <c r="BJ44" s="49">
        <f t="shared" si="92"/>
        <v>8</v>
      </c>
      <c r="BK44" s="50">
        <f t="shared" si="98"/>
        <v>6</v>
      </c>
      <c r="BL44" s="52" t="str">
        <f t="shared" si="99"/>
        <v>流山カージナルス</v>
      </c>
    </row>
    <row r="45" spans="1:64" ht="19.5" customHeight="1">
      <c r="A45" s="138" t="s">
        <v>109</v>
      </c>
      <c r="B45" s="43"/>
      <c r="C45" s="44">
        <v>9</v>
      </c>
      <c r="D45" s="44"/>
      <c r="E45" s="45">
        <v>6</v>
      </c>
      <c r="F45" s="43"/>
      <c r="G45" s="44">
        <v>0</v>
      </c>
      <c r="H45" s="44"/>
      <c r="I45" s="45">
        <v>24</v>
      </c>
      <c r="J45" s="43"/>
      <c r="K45" s="44">
        <v>3</v>
      </c>
      <c r="L45" s="44"/>
      <c r="M45" s="45">
        <v>8</v>
      </c>
      <c r="N45" s="43"/>
      <c r="O45" s="44">
        <v>0</v>
      </c>
      <c r="P45" s="44"/>
      <c r="Q45" s="45">
        <v>4</v>
      </c>
      <c r="R45" s="43"/>
      <c r="S45" s="44">
        <v>1</v>
      </c>
      <c r="T45" s="44"/>
      <c r="U45" s="45">
        <v>5</v>
      </c>
      <c r="V45" s="43"/>
      <c r="W45" s="44">
        <v>1</v>
      </c>
      <c r="X45" s="44"/>
      <c r="Y45" s="45">
        <v>7</v>
      </c>
      <c r="Z45" s="43"/>
      <c r="AA45" s="44">
        <v>4</v>
      </c>
      <c r="AB45" s="44"/>
      <c r="AC45" s="45">
        <v>3</v>
      </c>
      <c r="AD45" s="43"/>
      <c r="AE45" s="44"/>
      <c r="AF45" s="44"/>
      <c r="AG45" s="45"/>
      <c r="AH45" s="37">
        <f t="shared" si="75"/>
        <v>2</v>
      </c>
      <c r="AI45" s="37">
        <f>IF(C45&lt;E45,1,0)+IF(G45&lt;I45,1,0)+IF(K45&lt;M45,1,0)+IF(O45&lt;Q45,1,0)+IF(S45&lt;U45,1,0)+IF(W45&lt;Y45,1,0)+IF(AA45&lt;AC45,1,0)+IF(AE45&lt;AG45,1,0)</f>
        <v>5</v>
      </c>
      <c r="AJ45" s="37">
        <f>IF(AND(ISNUMBER(C45),C45=E45),1,0)+IF(AND(ISNUMBER(G45),G45=I45),1,0)+IF(AND(ISNUMBER(K45),K45=M45),1,)+IF(AND(ISNUMBER(O45),O45=Q45),1,0)+IF(AND(ISNUMBER(S45),S45=U45),1,0)+IF(AND(ISNUMBER(W45),W45=Y45),1,0)+IF(AND(ISNUMBER(AA45),AA45=AC45),1,0)+IF(AND(ISNUMBER(AE45),AE45=AG45),1,0)</f>
        <v>0</v>
      </c>
      <c r="AK45" s="38">
        <f>AH45*2</f>
        <v>4</v>
      </c>
      <c r="AL45" s="39">
        <f>AI45*0</f>
        <v>0</v>
      </c>
      <c r="AM45" s="40">
        <f>AJ45*1</f>
        <v>0</v>
      </c>
      <c r="AN45" s="41">
        <f>AK45+AL45+AM45</f>
        <v>4</v>
      </c>
      <c r="AO45" s="37">
        <f>IF(ISNUMBER(G45),G45,0)+IF(ISNUMBER(K45),K45,0)+IF(ISNUMBER(O45),O45,0)+IF(ISNUMBER(AA45),AA45,0)+IF(ISNUMBER(AE45),AE45,0)+IF(ISNUMBER(S45),S45,0)+IF(ISNUMBER(W45),W45,0)+IF(ISNUMBER(C45),C45,0)</f>
        <v>18</v>
      </c>
      <c r="AP45" s="37">
        <f>IF(ISNUMBER(I45),I45,0)+IF(ISNUMBER(M45),M45,0)+IF(ISNUMBER(Q45),Q45,0)+IF(ISNUMBER(AC45),AC45,0)+IF(ISNUMBER(AG45),AG45,0)+IF(ISNUMBER(U45),U45,0)+IF(ISNUMBER(Y45),Y45,0)+IF(ISNUMBER(E45),E45,0)</f>
        <v>57</v>
      </c>
      <c r="AQ45" s="37">
        <f>AO45-AP45</f>
        <v>-39</v>
      </c>
      <c r="AR45" s="1"/>
      <c r="AS45" s="1"/>
      <c r="AT45" s="49">
        <f>AY45+COUNTIF(AY$37:AY44,AY45)</f>
        <v>7</v>
      </c>
      <c r="AU45" s="51" t="str">
        <f t="shared" si="85"/>
        <v>桜台ウィングス</v>
      </c>
      <c r="AV45" s="49">
        <f t="shared" si="86"/>
        <v>4</v>
      </c>
      <c r="AW45" s="49">
        <f t="shared" si="87"/>
        <v>2</v>
      </c>
      <c r="AX45" s="49">
        <f t="shared" si="88"/>
        <v>7</v>
      </c>
      <c r="AY45" s="49">
        <f t="shared" si="89"/>
        <v>6</v>
      </c>
      <c r="AZ45" s="50">
        <f t="shared" si="93"/>
        <v>8</v>
      </c>
      <c r="BA45" s="52" t="str">
        <f t="shared" si="94"/>
        <v>サンスパッツ</v>
      </c>
      <c r="BB45" s="52">
        <f t="shared" si="95"/>
        <v>0</v>
      </c>
      <c r="BC45" s="52">
        <f t="shared" si="96"/>
        <v>0</v>
      </c>
      <c r="BD45" s="52">
        <f t="shared" si="97"/>
        <v>5</v>
      </c>
      <c r="BE45" s="62"/>
      <c r="BG45" s="49">
        <f>BJ45+COUNTIF(BJ$37:BJ44,BJ45)</f>
        <v>5</v>
      </c>
      <c r="BH45" s="51" t="str">
        <f t="shared" si="90"/>
        <v>桜台ウィングス</v>
      </c>
      <c r="BI45" s="49">
        <f t="shared" si="91"/>
        <v>7</v>
      </c>
      <c r="BJ45" s="49">
        <f t="shared" si="92"/>
        <v>1</v>
      </c>
      <c r="BK45" s="50">
        <f t="shared" si="98"/>
        <v>8</v>
      </c>
      <c r="BL45" s="52" t="str">
        <f t="shared" si="99"/>
        <v>サンスパッツ</v>
      </c>
    </row>
    <row r="46" spans="1:62" ht="19.5" customHeight="1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7">
        <f>SUM(AH38:AH45)</f>
        <v>24</v>
      </c>
      <c r="AJ46" s="7">
        <f>SUM(AI38:AI45)</f>
        <v>24</v>
      </c>
      <c r="AK46" s="7">
        <f>SUM(AJ38:AJ45)</f>
        <v>4</v>
      </c>
      <c r="AL46" s="7"/>
      <c r="AM46" s="7"/>
      <c r="AN46" s="1"/>
      <c r="AO46" s="7">
        <f>SUM(AO38:AO45)</f>
        <v>238</v>
      </c>
      <c r="AP46" s="7">
        <f>SUM(AP38:AP45)</f>
        <v>238</v>
      </c>
      <c r="AQ46" s="7">
        <f>SUM(AQ38:AQ45)</f>
        <v>0</v>
      </c>
      <c r="BI46" s="60">
        <f>SUM(BI38:BI45)/2</f>
        <v>26</v>
      </c>
      <c r="BJ46" s="3">
        <f>7*8/2</f>
        <v>28</v>
      </c>
    </row>
    <row r="47" spans="1:47" ht="19.5" customHeight="1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67">
        <f>IF(AI46=AJ46,"","計算間違い")</f>
      </c>
      <c r="AM47" s="1"/>
      <c r="AN47" s="1"/>
      <c r="AO47" s="1"/>
      <c r="AP47" s="67">
        <f>IF(AK46/2=TRUNC(AK46/2,0),"","計算間違い")</f>
      </c>
      <c r="AQ47" s="1"/>
      <c r="AR47" s="1"/>
      <c r="AS47" s="7"/>
      <c r="AT47" s="7"/>
      <c r="AU47" s="7"/>
    </row>
    <row r="48" spans="1:47" ht="19.5" customHeight="1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7"/>
      <c r="AT48" s="7"/>
      <c r="AU48" s="7"/>
    </row>
    <row r="49" spans="1:47" ht="19.5" customHeight="1">
      <c r="A49" s="4" t="s">
        <v>3</v>
      </c>
      <c r="B49" s="90" t="s">
        <v>71</v>
      </c>
      <c r="C49" s="58"/>
      <c r="D49" s="58"/>
      <c r="E49" s="58"/>
      <c r="F49" s="58"/>
      <c r="G49" s="158" t="str">
        <f>"１日"&amp;ROUND((BJ59-BI59)/'戦績'!N42,1)&amp;"試合"</f>
        <v>１日0.3試合</v>
      </c>
      <c r="H49" s="158"/>
      <c r="I49" s="158"/>
      <c r="J49" s="158"/>
      <c r="K49" s="153" t="s">
        <v>20</v>
      </c>
      <c r="L49" s="153"/>
      <c r="M49" s="153"/>
      <c r="N49" s="153"/>
      <c r="O49" s="154" t="str">
        <f>IF(C83&gt;C82,+BA51,"")</f>
        <v>藤心ジャガース</v>
      </c>
      <c r="P49" s="154"/>
      <c r="Q49" s="154"/>
      <c r="R49" s="154"/>
      <c r="S49" s="154"/>
      <c r="T49" s="59"/>
      <c r="U49" s="153" t="s">
        <v>26</v>
      </c>
      <c r="V49" s="153"/>
      <c r="W49" s="153"/>
      <c r="X49" s="153"/>
      <c r="Y49" s="154" t="str">
        <f>IF(C83&gt;C82,+BA52,"")</f>
        <v>矢切コンドルス</v>
      </c>
      <c r="Z49" s="154"/>
      <c r="AA49" s="154"/>
      <c r="AB49" s="154"/>
      <c r="AC49" s="154"/>
      <c r="AD49" s="154"/>
      <c r="AE49" s="1"/>
      <c r="AF49" s="61" t="s">
        <v>30</v>
      </c>
      <c r="AG49" s="1"/>
      <c r="AH49" s="1"/>
      <c r="AI49" s="1"/>
      <c r="AJ49" s="151">
        <f>+BI59/(MAX(AT51:AT57)*(MAX(AT51:AT57)-1)/2)</f>
        <v>0.9523809523809523</v>
      </c>
      <c r="AK49" s="15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61" ht="19.5" customHeight="1">
      <c r="A50" s="5"/>
      <c r="B50" s="152" t="str">
        <f>+A51</f>
        <v>セントラルパークス</v>
      </c>
      <c r="C50" s="152"/>
      <c r="D50" s="152"/>
      <c r="E50" s="152"/>
      <c r="F50" s="152" t="str">
        <f>+A52</f>
        <v>矢切コンドルス</v>
      </c>
      <c r="G50" s="152"/>
      <c r="H50" s="152"/>
      <c r="I50" s="152"/>
      <c r="J50" s="152" t="str">
        <f>+A53</f>
        <v>牧の原ジュニアーズ</v>
      </c>
      <c r="K50" s="152"/>
      <c r="L50" s="152"/>
      <c r="M50" s="152"/>
      <c r="N50" s="152" t="str">
        <f>+A54</f>
        <v>藤心ジャガース</v>
      </c>
      <c r="O50" s="152"/>
      <c r="P50" s="152"/>
      <c r="Q50" s="152"/>
      <c r="R50" s="152" t="str">
        <f>+A55</f>
        <v>光インパルス</v>
      </c>
      <c r="S50" s="152"/>
      <c r="T50" s="152"/>
      <c r="U50" s="152"/>
      <c r="V50" s="152" t="str">
        <f>+A56</f>
        <v>沼南フラワーズ</v>
      </c>
      <c r="W50" s="152"/>
      <c r="X50" s="152"/>
      <c r="Y50" s="152"/>
      <c r="Z50" s="152" t="str">
        <f>+A57</f>
        <v>湖北フレンズ</v>
      </c>
      <c r="AA50" s="152"/>
      <c r="AB50" s="152"/>
      <c r="AC50" s="152"/>
      <c r="AD50" s="152"/>
      <c r="AE50" s="152"/>
      <c r="AF50" s="152"/>
      <c r="AG50" s="152"/>
      <c r="AH50" s="32" t="s">
        <v>7</v>
      </c>
      <c r="AI50" s="32" t="s">
        <v>8</v>
      </c>
      <c r="AJ50" s="32" t="s">
        <v>9</v>
      </c>
      <c r="AK50" s="33" t="s">
        <v>14</v>
      </c>
      <c r="AL50" s="34" t="s">
        <v>15</v>
      </c>
      <c r="AM50" s="35" t="s">
        <v>16</v>
      </c>
      <c r="AN50" s="36" t="s">
        <v>10</v>
      </c>
      <c r="AO50" s="32" t="s">
        <v>11</v>
      </c>
      <c r="AP50" s="32" t="s">
        <v>12</v>
      </c>
      <c r="AQ50" s="32" t="s">
        <v>13</v>
      </c>
      <c r="AR50" s="1"/>
      <c r="AS50" s="1"/>
      <c r="AU50" s="3" t="s">
        <v>21</v>
      </c>
      <c r="AV50" s="3" t="s">
        <v>22</v>
      </c>
      <c r="BH50" s="3" t="s">
        <v>21</v>
      </c>
      <c r="BI50" s="3" t="s">
        <v>23</v>
      </c>
    </row>
    <row r="51" spans="1:64" ht="19.5" customHeight="1">
      <c r="A51" s="107" t="s">
        <v>110</v>
      </c>
      <c r="B51" s="43"/>
      <c r="C51" s="44"/>
      <c r="D51" s="44"/>
      <c r="E51" s="45"/>
      <c r="F51" s="43"/>
      <c r="G51" s="44">
        <f>IF(E52="","",E52)</f>
        <v>6</v>
      </c>
      <c r="H51" s="44"/>
      <c r="I51" s="45">
        <f>IF(C52="","",C52)</f>
        <v>2</v>
      </c>
      <c r="J51" s="43"/>
      <c r="K51" s="44">
        <f>IF(E53="","",E53)</f>
      </c>
      <c r="L51" s="44"/>
      <c r="M51" s="45">
        <f>IF(C53="","",C53)</f>
      </c>
      <c r="N51" s="43"/>
      <c r="O51" s="44">
        <f>IF(E54="","",E54)</f>
        <v>2</v>
      </c>
      <c r="P51" s="44"/>
      <c r="Q51" s="45">
        <f>IF(C54="","",C54)</f>
        <v>2</v>
      </c>
      <c r="R51" s="43"/>
      <c r="S51" s="44">
        <f>IF(E55="","",E55)</f>
        <v>3</v>
      </c>
      <c r="T51" s="44"/>
      <c r="U51" s="45">
        <f>IF(C55="","",C55)</f>
        <v>1</v>
      </c>
      <c r="V51" s="43"/>
      <c r="W51" s="44">
        <f>IF(E56="","",E56)</f>
        <v>4</v>
      </c>
      <c r="X51" s="44"/>
      <c r="Y51" s="45">
        <f>IF(C56="","",C56)</f>
        <v>8</v>
      </c>
      <c r="Z51" s="43"/>
      <c r="AA51" s="44">
        <f>IF(E57="","",E57)</f>
        <v>14</v>
      </c>
      <c r="AB51" s="44"/>
      <c r="AC51" s="45">
        <f>IF(C57="","",C57)</f>
        <v>1</v>
      </c>
      <c r="AD51" s="43"/>
      <c r="AE51" s="44">
        <f>IF(E58="","",E58)</f>
      </c>
      <c r="AF51" s="44"/>
      <c r="AG51" s="45">
        <f>IF(C58="","",C58)</f>
      </c>
      <c r="AH51" s="37">
        <f>IF(C51&gt;E51,1,0)+IF(G51&gt;I51,1,0)+IF(K51&gt;M51,1,0)+IF(O51&gt;Q51,1,0)+IF(S51&gt;U51,1,0)+IF(W51&gt;Y51,1,0)+IF(AA51&gt;AC51,1,0)+IF(AE51&gt;AG51,1,0)</f>
        <v>3</v>
      </c>
      <c r="AI51" s="37">
        <f>IF(C51&lt;E51,1,0)+IF(G51&lt;I51,1,0)+IF(K51&lt;M51,1,0)+IF(O51&lt;Q51,1,0)+IF(S51&lt;U51,1,0)+IF(W51&lt;Y51,1,0)+IF(AA51&lt;AC51,1,0)+IF(AE51&lt;AG51,1,0)</f>
        <v>1</v>
      </c>
      <c r="AJ51" s="37">
        <f>IF(AND(ISNUMBER(C51),C51=E51),1,0)+IF(AND(ISNUMBER(G51),G51=I51),1,0)+IF(AND(ISNUMBER(K51),K51=M51),1,)+IF(AND(ISNUMBER(O51),O51=Q51),1,0)+IF(AND(ISNUMBER(S51),S51=U51),1,0)+IF(AND(ISNUMBER(W51),W51=Y51),1,0)+IF(AND(ISNUMBER(AA51),AA51=AC51),1,0)+IF(AND(ISNUMBER(AE51),AE51=AG51),1,0)</f>
        <v>1</v>
      </c>
      <c r="AK51" s="38">
        <f>AH51*2</f>
        <v>6</v>
      </c>
      <c r="AL51" s="39">
        <f>AI51*0</f>
        <v>0</v>
      </c>
      <c r="AM51" s="40">
        <f>AJ51*1</f>
        <v>1</v>
      </c>
      <c r="AN51" s="41">
        <f>AK51+AL51+AM51</f>
        <v>7</v>
      </c>
      <c r="AO51" s="37">
        <f>IF(ISNUMBER(G51),G51,0)+IF(ISNUMBER(K51),K51,0)+IF(ISNUMBER(O51),O51,0)+IF(ISNUMBER(AA51),AA51,0)+IF(ISNUMBER(AE51),AE51,0)+IF(ISNUMBER(S51),S51,0)+IF(ISNUMBER(W51),W51,0)+IF(ISNUMBER(C51),C51,0)</f>
        <v>29</v>
      </c>
      <c r="AP51" s="37">
        <f>IF(ISNUMBER(I51),I51,0)+IF(ISNUMBER(M51),M51,0)+IF(ISNUMBER(Q51),Q51,0)+IF(ISNUMBER(AC51),AC51,0)+IF(ISNUMBER(AG51),AG51,0)+IF(ISNUMBER(U51),U51,0)+IF(ISNUMBER(Y51),Y51,0)+IF(ISNUMBER(E51),E51,0)</f>
        <v>14</v>
      </c>
      <c r="AQ51" s="37">
        <f aca="true" t="shared" si="100" ref="AQ51:AQ57">AO51-AP51</f>
        <v>15</v>
      </c>
      <c r="AR51" s="1"/>
      <c r="AS51" s="1"/>
      <c r="AT51" s="49">
        <f>AY51+COUNTIF(AY$50:AY50,AY51)</f>
        <v>4</v>
      </c>
      <c r="AU51" s="51" t="str">
        <f>+A51</f>
        <v>セントラルパークス</v>
      </c>
      <c r="AV51" s="49">
        <f aca="true" t="shared" si="101" ref="AV51:AV57">+AN51</f>
        <v>7</v>
      </c>
      <c r="AW51" s="49">
        <f>+AH51</f>
        <v>3</v>
      </c>
      <c r="AX51" s="49">
        <f>+AH51+AI51+AJ51</f>
        <v>5</v>
      </c>
      <c r="AY51" s="49">
        <f>RANK(AV51,AV$51:AV$58)</f>
        <v>4</v>
      </c>
      <c r="AZ51" s="50">
        <f>VLOOKUP(ROW(AX1),$AT$51:$AY$58,6,FALSE)</f>
        <v>1</v>
      </c>
      <c r="BA51" s="52" t="str">
        <f>VLOOKUP(ROW(AX1),$AT$51:$AY$58,2,FALSE)</f>
        <v>藤心ジャガース</v>
      </c>
      <c r="BB51" s="52">
        <f>VLOOKUP(ROW(AX1),$AT$51:$AY$58,3,FALSE)</f>
        <v>11</v>
      </c>
      <c r="BC51" s="52">
        <f>VLOOKUP(ROW(AX1),$AT$51:$AY$58,4,FALSE)</f>
        <v>5</v>
      </c>
      <c r="BD51" s="52">
        <f>VLOOKUP(ROW(AX1),$AT$51:$AY$58,5,FALSE)</f>
        <v>6</v>
      </c>
      <c r="BE51" s="62"/>
      <c r="BG51" s="49">
        <f>BJ51+COUNTIF(BJ$50:BJ50,BJ51)</f>
        <v>6</v>
      </c>
      <c r="BH51" s="51" t="str">
        <f>+AU51</f>
        <v>セントラルパークス</v>
      </c>
      <c r="BI51" s="49">
        <f>COUNT(B51:AG51)/2</f>
        <v>5</v>
      </c>
      <c r="BJ51" s="49">
        <f>RANK(BI51,BI$51:BI$58)</f>
        <v>6</v>
      </c>
      <c r="BK51" s="50">
        <f>VLOOKUP(ROW(BK1),$BG$51:$BJ$58,4,FALSE)</f>
        <v>1</v>
      </c>
      <c r="BL51" s="52" t="str">
        <f>VLOOKUP(ROW(BL1),$BG$51:$BJ$58,2,FALSE)</f>
        <v>矢切コンドルス</v>
      </c>
    </row>
    <row r="52" spans="1:64" ht="19.5" customHeight="1">
      <c r="A52" s="107" t="s">
        <v>111</v>
      </c>
      <c r="B52" s="43"/>
      <c r="C52" s="44">
        <v>2</v>
      </c>
      <c r="D52" s="44"/>
      <c r="E52" s="45">
        <v>6</v>
      </c>
      <c r="F52" s="43"/>
      <c r="G52" s="44"/>
      <c r="H52" s="44"/>
      <c r="I52" s="45"/>
      <c r="J52" s="43"/>
      <c r="K52" s="44">
        <f>IF(I53="","",I53)</f>
        <v>7</v>
      </c>
      <c r="L52" s="44"/>
      <c r="M52" s="45">
        <f>IF(G53="","",G53)</f>
        <v>6</v>
      </c>
      <c r="N52" s="43"/>
      <c r="O52" s="44">
        <f>IF(I54="","",I54)</f>
        <v>3</v>
      </c>
      <c r="P52" s="44"/>
      <c r="Q52" s="45">
        <f>IF(G54="","",G54)</f>
        <v>7</v>
      </c>
      <c r="R52" s="43"/>
      <c r="S52" s="44">
        <f>IF(I55="","",I55)</f>
        <v>22</v>
      </c>
      <c r="T52" s="44"/>
      <c r="U52" s="45">
        <f>IF(G55="","",G55)</f>
        <v>0</v>
      </c>
      <c r="V52" s="43"/>
      <c r="W52" s="44">
        <f>IF(I56="","",I56)</f>
        <v>5</v>
      </c>
      <c r="X52" s="44"/>
      <c r="Y52" s="45">
        <f>IF(G56="","",G56)</f>
        <v>4</v>
      </c>
      <c r="Z52" s="43"/>
      <c r="AA52" s="44">
        <f>IF(I57="","",I57)</f>
        <v>4</v>
      </c>
      <c r="AB52" s="44"/>
      <c r="AC52" s="45">
        <f>IF(G57="","",G57)</f>
        <v>2</v>
      </c>
      <c r="AD52" s="43"/>
      <c r="AE52" s="44">
        <f>IF(I58="","",I58)</f>
      </c>
      <c r="AF52" s="44"/>
      <c r="AG52" s="45">
        <f>IF(G58="","",G58)</f>
      </c>
      <c r="AH52" s="37">
        <f aca="true" t="shared" si="102" ref="AH52:AH57">IF(C52&gt;E52,1,0)+IF(G52&gt;I52,1,0)+IF(K52&gt;M52,1,0)+IF(O52&gt;Q52,1,0)+IF(S52&gt;U52,1,0)+IF(W52&gt;Y52,1,0)+IF(AA52&gt;AC52,1,0)+IF(AE52&gt;AG52,1,0)</f>
        <v>4</v>
      </c>
      <c r="AI52" s="37">
        <f aca="true" t="shared" si="103" ref="AI52:AI57">IF(C52&lt;E52,1,0)+IF(G52&lt;I52,1,0)+IF(K52&lt;M52,1,0)+IF(O52&lt;Q52,1,0)+IF(S52&lt;U52,1,0)+IF(W52&lt;Y52,1,0)+IF(AA52&lt;AC52,1,0)+IF(AE52&lt;AG52,1,0)</f>
        <v>2</v>
      </c>
      <c r="AJ52" s="37">
        <f aca="true" t="shared" si="104" ref="AJ52:AJ57">IF(AND(ISNUMBER(C52),C52=E52),1,0)+IF(AND(ISNUMBER(G52),G52=I52),1,0)+IF(AND(ISNUMBER(K52),K52=M52),1,)+IF(AND(ISNUMBER(O52),O52=Q52),1,0)+IF(AND(ISNUMBER(S52),S52=U52),1,0)+IF(AND(ISNUMBER(W52),W52=Y52),1,0)+IF(AND(ISNUMBER(AA52),AA52=AC52),1,0)+IF(AND(ISNUMBER(AE52),AE52=AG52),1,0)</f>
        <v>0</v>
      </c>
      <c r="AK52" s="38">
        <f aca="true" t="shared" si="105" ref="AK52:AK57">AH52*2</f>
        <v>8</v>
      </c>
      <c r="AL52" s="39">
        <f aca="true" t="shared" si="106" ref="AL52:AL57">AI52*0</f>
        <v>0</v>
      </c>
      <c r="AM52" s="40">
        <f aca="true" t="shared" si="107" ref="AM52:AM57">AJ52*1</f>
        <v>0</v>
      </c>
      <c r="AN52" s="41">
        <f aca="true" t="shared" si="108" ref="AN52:AN57">AK52+AL52+AM52</f>
        <v>8</v>
      </c>
      <c r="AO52" s="37">
        <f aca="true" t="shared" si="109" ref="AO52:AO57">IF(ISNUMBER(G52),G52,0)+IF(ISNUMBER(K52),K52,0)+IF(ISNUMBER(O52),O52,0)+IF(ISNUMBER(AA52),AA52,0)+IF(ISNUMBER(AE52),AE52,0)+IF(ISNUMBER(S52),S52,0)+IF(ISNUMBER(W52),W52,0)+IF(ISNUMBER(C52),C52,0)</f>
        <v>43</v>
      </c>
      <c r="AP52" s="37">
        <f aca="true" t="shared" si="110" ref="AP52:AP57">IF(ISNUMBER(I52),I52,0)+IF(ISNUMBER(M52),M52,0)+IF(ISNUMBER(Q52),Q52,0)+IF(ISNUMBER(AC52),AC52,0)+IF(ISNUMBER(AG52),AG52,0)+IF(ISNUMBER(U52),U52,0)+IF(ISNUMBER(Y52),Y52,0)+IF(ISNUMBER(E52),E52,0)</f>
        <v>25</v>
      </c>
      <c r="AQ52" s="32">
        <f t="shared" si="100"/>
        <v>18</v>
      </c>
      <c r="AR52" s="1"/>
      <c r="AS52" s="1"/>
      <c r="AT52" s="49">
        <f>AY52+COUNTIF(AY$50:AY51,AY52)</f>
        <v>2</v>
      </c>
      <c r="AU52" s="51" t="str">
        <f aca="true" t="shared" si="111" ref="AU52:AU57">+A52</f>
        <v>矢切コンドルス</v>
      </c>
      <c r="AV52" s="49">
        <f t="shared" si="101"/>
        <v>8</v>
      </c>
      <c r="AW52" s="49">
        <f aca="true" t="shared" si="112" ref="AW52:AW57">+AH52</f>
        <v>4</v>
      </c>
      <c r="AX52" s="49">
        <f aca="true" t="shared" si="113" ref="AX52:AX57">+AH52+AI52+AJ52</f>
        <v>6</v>
      </c>
      <c r="AY52" s="49">
        <f aca="true" t="shared" si="114" ref="AY52:AY57">RANK(AV52,AV$51:AV$58)</f>
        <v>2</v>
      </c>
      <c r="AZ52" s="50">
        <f aca="true" t="shared" si="115" ref="AZ52:AZ57">VLOOKUP(ROW(AX2),$AT$51:$AY$58,6,FALSE)</f>
        <v>2</v>
      </c>
      <c r="BA52" s="52" t="str">
        <f aca="true" t="shared" si="116" ref="BA52:BA57">VLOOKUP(ROW(AX2),$AT$51:$AY$58,2,FALSE)</f>
        <v>矢切コンドルス</v>
      </c>
      <c r="BB52" s="52">
        <f aca="true" t="shared" si="117" ref="BB52:BB57">VLOOKUP(ROW(AX2),$AT$51:$AY$58,3,FALSE)</f>
        <v>8</v>
      </c>
      <c r="BC52" s="52">
        <f aca="true" t="shared" si="118" ref="BC52:BC57">VLOOKUP(ROW(AX2),$AT$51:$AY$58,4,FALSE)</f>
        <v>4</v>
      </c>
      <c r="BD52" s="52">
        <f aca="true" t="shared" si="119" ref="BD52:BD57">VLOOKUP(ROW(AX2),$AT$51:$AY$58,5,FALSE)</f>
        <v>6</v>
      </c>
      <c r="BE52" s="62"/>
      <c r="BG52" s="49">
        <f>BJ52+COUNTIF(BJ$50:BJ51,BJ52)</f>
        <v>1</v>
      </c>
      <c r="BH52" s="51" t="str">
        <f aca="true" t="shared" si="120" ref="BH52:BH57">+AU52</f>
        <v>矢切コンドルス</v>
      </c>
      <c r="BI52" s="49">
        <f aca="true" t="shared" si="121" ref="BI52:BI57">COUNT(B52:AG52)/2</f>
        <v>6</v>
      </c>
      <c r="BJ52" s="49">
        <f aca="true" t="shared" si="122" ref="BJ52:BJ57">RANK(BI52,BI$51:BI$58)</f>
        <v>1</v>
      </c>
      <c r="BK52" s="50">
        <f aca="true" t="shared" si="123" ref="BK52:BK57">VLOOKUP(ROW(BK2),$BG$51:$BJ$58,4,FALSE)</f>
        <v>1</v>
      </c>
      <c r="BL52" s="52" t="str">
        <f aca="true" t="shared" si="124" ref="BL52:BL57">VLOOKUP(ROW(BL2),$BG$51:$BJ$58,2,FALSE)</f>
        <v>藤心ジャガース</v>
      </c>
    </row>
    <row r="53" spans="1:64" ht="19.5" customHeight="1">
      <c r="A53" s="107" t="s">
        <v>112</v>
      </c>
      <c r="B53" s="43"/>
      <c r="C53" s="44"/>
      <c r="D53" s="44"/>
      <c r="E53" s="45"/>
      <c r="F53" s="43"/>
      <c r="G53" s="44">
        <v>6</v>
      </c>
      <c r="H53" s="44"/>
      <c r="I53" s="45">
        <v>7</v>
      </c>
      <c r="J53" s="43"/>
      <c r="K53" s="44"/>
      <c r="L53" s="44"/>
      <c r="M53" s="45"/>
      <c r="N53" s="43"/>
      <c r="O53" s="44">
        <f>IF(M54="","",M54)</f>
        <v>0</v>
      </c>
      <c r="P53" s="44"/>
      <c r="Q53" s="45">
        <f>IF(K54="","",K54)</f>
        <v>6</v>
      </c>
      <c r="R53" s="43"/>
      <c r="S53" s="44">
        <f>IF(M55="","",M55)</f>
        <v>4</v>
      </c>
      <c r="T53" s="44"/>
      <c r="U53" s="45">
        <f>IF(K55="","",K55)</f>
        <v>10</v>
      </c>
      <c r="V53" s="43"/>
      <c r="W53" s="44">
        <f>IF(M56="","",M56)</f>
        <v>2</v>
      </c>
      <c r="X53" s="44"/>
      <c r="Y53" s="45">
        <f>IF(K56="","",K56)</f>
        <v>9</v>
      </c>
      <c r="Z53" s="43"/>
      <c r="AA53" s="44">
        <f>IF(M57="","",M57)</f>
        <v>3</v>
      </c>
      <c r="AB53" s="44"/>
      <c r="AC53" s="45">
        <f>IF(K57="","",K57)</f>
        <v>5</v>
      </c>
      <c r="AD53" s="43"/>
      <c r="AE53" s="44">
        <f>IF(M58="","",M58)</f>
      </c>
      <c r="AF53" s="44"/>
      <c r="AG53" s="45">
        <f>IF(K58="","",K58)</f>
      </c>
      <c r="AH53" s="37">
        <f t="shared" si="102"/>
        <v>0</v>
      </c>
      <c r="AI53" s="37">
        <f t="shared" si="103"/>
        <v>5</v>
      </c>
      <c r="AJ53" s="37">
        <f t="shared" si="104"/>
        <v>0</v>
      </c>
      <c r="AK53" s="38">
        <f t="shared" si="105"/>
        <v>0</v>
      </c>
      <c r="AL53" s="39">
        <f t="shared" si="106"/>
        <v>0</v>
      </c>
      <c r="AM53" s="40">
        <f t="shared" si="107"/>
        <v>0</v>
      </c>
      <c r="AN53" s="41">
        <f t="shared" si="108"/>
        <v>0</v>
      </c>
      <c r="AO53" s="37">
        <f t="shared" si="109"/>
        <v>15</v>
      </c>
      <c r="AP53" s="37">
        <f t="shared" si="110"/>
        <v>37</v>
      </c>
      <c r="AQ53" s="42">
        <f t="shared" si="100"/>
        <v>-22</v>
      </c>
      <c r="AR53" s="1"/>
      <c r="AS53" s="1"/>
      <c r="AT53" s="49">
        <f>AY53+COUNTIF(AY$50:AY52,AY53)</f>
        <v>7</v>
      </c>
      <c r="AU53" s="51" t="str">
        <f t="shared" si="111"/>
        <v>牧の原ジュニアーズ</v>
      </c>
      <c r="AV53" s="49">
        <f t="shared" si="101"/>
        <v>0</v>
      </c>
      <c r="AW53" s="49">
        <f t="shared" si="112"/>
        <v>0</v>
      </c>
      <c r="AX53" s="49">
        <f t="shared" si="113"/>
        <v>5</v>
      </c>
      <c r="AY53" s="49">
        <f t="shared" si="114"/>
        <v>7</v>
      </c>
      <c r="AZ53" s="50">
        <f t="shared" si="115"/>
        <v>2</v>
      </c>
      <c r="BA53" s="52" t="str">
        <f t="shared" si="116"/>
        <v>沼南フラワーズ</v>
      </c>
      <c r="BB53" s="52">
        <f t="shared" si="117"/>
        <v>8</v>
      </c>
      <c r="BC53" s="52">
        <f t="shared" si="118"/>
        <v>4</v>
      </c>
      <c r="BD53" s="52">
        <f t="shared" si="119"/>
        <v>6</v>
      </c>
      <c r="BE53" s="62"/>
      <c r="BG53" s="49">
        <f>BJ53+COUNTIF(BJ$50:BJ52,BJ53)</f>
        <v>7</v>
      </c>
      <c r="BH53" s="51" t="str">
        <f t="shared" si="120"/>
        <v>牧の原ジュニアーズ</v>
      </c>
      <c r="BI53" s="49">
        <f t="shared" si="121"/>
        <v>5</v>
      </c>
      <c r="BJ53" s="49">
        <f t="shared" si="122"/>
        <v>6</v>
      </c>
      <c r="BK53" s="50">
        <f t="shared" si="123"/>
        <v>1</v>
      </c>
      <c r="BL53" s="52" t="str">
        <f t="shared" si="124"/>
        <v>光インパルス</v>
      </c>
    </row>
    <row r="54" spans="1:64" ht="19.5" customHeight="1">
      <c r="A54" s="107" t="s">
        <v>113</v>
      </c>
      <c r="B54" s="43"/>
      <c r="C54" s="44">
        <v>2</v>
      </c>
      <c r="D54" s="44"/>
      <c r="E54" s="45">
        <v>2</v>
      </c>
      <c r="F54" s="43"/>
      <c r="G54" s="44">
        <v>7</v>
      </c>
      <c r="H54" s="44"/>
      <c r="I54" s="45">
        <v>3</v>
      </c>
      <c r="J54" s="43"/>
      <c r="K54" s="44">
        <v>6</v>
      </c>
      <c r="L54" s="44"/>
      <c r="M54" s="45">
        <v>0</v>
      </c>
      <c r="N54" s="43"/>
      <c r="O54" s="44"/>
      <c r="P54" s="44"/>
      <c r="Q54" s="45"/>
      <c r="R54" s="43"/>
      <c r="S54" s="44">
        <f>IF(Q55="","",Q55)</f>
        <v>16</v>
      </c>
      <c r="T54" s="44"/>
      <c r="U54" s="45">
        <f>IF(O55="","",O55)</f>
        <v>0</v>
      </c>
      <c r="V54" s="43"/>
      <c r="W54" s="44">
        <f>IF(Q56="","",Q56)</f>
        <v>17</v>
      </c>
      <c r="X54" s="44"/>
      <c r="Y54" s="45">
        <f>IF(O56="","",O56)</f>
        <v>2</v>
      </c>
      <c r="Z54" s="43"/>
      <c r="AA54" s="44">
        <f>IF(Q57="","",Q57)</f>
        <v>5</v>
      </c>
      <c r="AB54" s="44"/>
      <c r="AC54" s="45">
        <f>IF(O57="","",O57)</f>
        <v>1</v>
      </c>
      <c r="AD54" s="43"/>
      <c r="AE54" s="44">
        <f>IF(Q58="","",Q58)</f>
      </c>
      <c r="AF54" s="44"/>
      <c r="AG54" s="45">
        <f>IF(O58="","",O58)</f>
      </c>
      <c r="AH54" s="37">
        <f t="shared" si="102"/>
        <v>5</v>
      </c>
      <c r="AI54" s="37">
        <f t="shared" si="103"/>
        <v>0</v>
      </c>
      <c r="AJ54" s="37">
        <f t="shared" si="104"/>
        <v>1</v>
      </c>
      <c r="AK54" s="38">
        <f t="shared" si="105"/>
        <v>10</v>
      </c>
      <c r="AL54" s="39">
        <f t="shared" si="106"/>
        <v>0</v>
      </c>
      <c r="AM54" s="40">
        <f t="shared" si="107"/>
        <v>1</v>
      </c>
      <c r="AN54" s="41">
        <f t="shared" si="108"/>
        <v>11</v>
      </c>
      <c r="AO54" s="37">
        <f t="shared" si="109"/>
        <v>53</v>
      </c>
      <c r="AP54" s="37">
        <f t="shared" si="110"/>
        <v>8</v>
      </c>
      <c r="AQ54" s="32">
        <f t="shared" si="100"/>
        <v>45</v>
      </c>
      <c r="AR54" s="1"/>
      <c r="AS54" s="1"/>
      <c r="AT54" s="49">
        <f>AY54+COUNTIF(AY$50:AY53,AY54)</f>
        <v>1</v>
      </c>
      <c r="AU54" s="51" t="str">
        <f t="shared" si="111"/>
        <v>藤心ジャガース</v>
      </c>
      <c r="AV54" s="49">
        <f t="shared" si="101"/>
        <v>11</v>
      </c>
      <c r="AW54" s="49">
        <f t="shared" si="112"/>
        <v>5</v>
      </c>
      <c r="AX54" s="49">
        <f t="shared" si="113"/>
        <v>6</v>
      </c>
      <c r="AY54" s="49">
        <f t="shared" si="114"/>
        <v>1</v>
      </c>
      <c r="AZ54" s="50">
        <f t="shared" si="115"/>
        <v>4</v>
      </c>
      <c r="BA54" s="52" t="str">
        <f t="shared" si="116"/>
        <v>セントラルパークス</v>
      </c>
      <c r="BB54" s="52">
        <f t="shared" si="117"/>
        <v>7</v>
      </c>
      <c r="BC54" s="52">
        <f t="shared" si="118"/>
        <v>3</v>
      </c>
      <c r="BD54" s="52">
        <f t="shared" si="119"/>
        <v>5</v>
      </c>
      <c r="BE54" s="62"/>
      <c r="BG54" s="49">
        <f>BJ54+COUNTIF(BJ$50:BJ53,BJ54)</f>
        <v>2</v>
      </c>
      <c r="BH54" s="51" t="str">
        <f t="shared" si="120"/>
        <v>藤心ジャガース</v>
      </c>
      <c r="BI54" s="49">
        <f t="shared" si="121"/>
        <v>6</v>
      </c>
      <c r="BJ54" s="49">
        <f t="shared" si="122"/>
        <v>1</v>
      </c>
      <c r="BK54" s="50">
        <f t="shared" si="123"/>
        <v>1</v>
      </c>
      <c r="BL54" s="52" t="str">
        <f t="shared" si="124"/>
        <v>沼南フラワーズ</v>
      </c>
    </row>
    <row r="55" spans="1:64" ht="19.5" customHeight="1">
      <c r="A55" s="107" t="s">
        <v>114</v>
      </c>
      <c r="B55" s="43"/>
      <c r="C55" s="44">
        <v>1</v>
      </c>
      <c r="D55" s="44"/>
      <c r="E55" s="45">
        <v>3</v>
      </c>
      <c r="F55" s="43"/>
      <c r="G55" s="44">
        <v>0</v>
      </c>
      <c r="H55" s="44"/>
      <c r="I55" s="45">
        <v>22</v>
      </c>
      <c r="J55" s="43"/>
      <c r="K55" s="44">
        <v>10</v>
      </c>
      <c r="L55" s="44"/>
      <c r="M55" s="45">
        <v>4</v>
      </c>
      <c r="N55" s="43"/>
      <c r="O55" s="44">
        <v>0</v>
      </c>
      <c r="P55" s="44"/>
      <c r="Q55" s="45">
        <v>16</v>
      </c>
      <c r="R55" s="43"/>
      <c r="S55" s="44"/>
      <c r="T55" s="44"/>
      <c r="U55" s="45"/>
      <c r="V55" s="43"/>
      <c r="W55" s="44">
        <f>IF(U56="","",U56)</f>
        <v>2</v>
      </c>
      <c r="X55" s="44"/>
      <c r="Y55" s="45">
        <f>IF(S56="","",S56)</f>
        <v>4</v>
      </c>
      <c r="Z55" s="43"/>
      <c r="AA55" s="44">
        <f>IF(U57="","",U57)</f>
        <v>2</v>
      </c>
      <c r="AB55" s="44"/>
      <c r="AC55" s="45">
        <f>IF(S57="","",S57)</f>
        <v>20</v>
      </c>
      <c r="AD55" s="43"/>
      <c r="AE55" s="44">
        <f>IF(U58="","",U58)</f>
      </c>
      <c r="AF55" s="44"/>
      <c r="AG55" s="45">
        <f>IF(S58="","",S58)</f>
      </c>
      <c r="AH55" s="37">
        <f t="shared" si="102"/>
        <v>1</v>
      </c>
      <c r="AI55" s="37">
        <f t="shared" si="103"/>
        <v>5</v>
      </c>
      <c r="AJ55" s="37">
        <f t="shared" si="104"/>
        <v>0</v>
      </c>
      <c r="AK55" s="38">
        <f t="shared" si="105"/>
        <v>2</v>
      </c>
      <c r="AL55" s="39">
        <f t="shared" si="106"/>
        <v>0</v>
      </c>
      <c r="AM55" s="40">
        <f t="shared" si="107"/>
        <v>0</v>
      </c>
      <c r="AN55" s="41">
        <f t="shared" si="108"/>
        <v>2</v>
      </c>
      <c r="AO55" s="37">
        <f t="shared" si="109"/>
        <v>15</v>
      </c>
      <c r="AP55" s="37">
        <f t="shared" si="110"/>
        <v>69</v>
      </c>
      <c r="AQ55" s="32">
        <f t="shared" si="100"/>
        <v>-54</v>
      </c>
      <c r="AR55" s="1"/>
      <c r="AS55" s="1"/>
      <c r="AT55" s="49">
        <f>AY55+COUNTIF(AY$50:AY54,AY55)</f>
        <v>6</v>
      </c>
      <c r="AU55" s="51" t="str">
        <f t="shared" si="111"/>
        <v>光インパルス</v>
      </c>
      <c r="AV55" s="49">
        <f t="shared" si="101"/>
        <v>2</v>
      </c>
      <c r="AW55" s="49">
        <f t="shared" si="112"/>
        <v>1</v>
      </c>
      <c r="AX55" s="49">
        <f t="shared" si="113"/>
        <v>6</v>
      </c>
      <c r="AY55" s="49">
        <f t="shared" si="114"/>
        <v>6</v>
      </c>
      <c r="AZ55" s="50">
        <f t="shared" si="115"/>
        <v>5</v>
      </c>
      <c r="BA55" s="52" t="str">
        <f t="shared" si="116"/>
        <v>湖北フレンズ</v>
      </c>
      <c r="BB55" s="52">
        <f t="shared" si="117"/>
        <v>4</v>
      </c>
      <c r="BC55" s="52">
        <f t="shared" si="118"/>
        <v>2</v>
      </c>
      <c r="BD55" s="52">
        <f t="shared" si="119"/>
        <v>6</v>
      </c>
      <c r="BE55" s="62"/>
      <c r="BG55" s="49">
        <f>BJ55+COUNTIF(BJ$50:BJ54,BJ55)</f>
        <v>3</v>
      </c>
      <c r="BH55" s="51" t="str">
        <f t="shared" si="120"/>
        <v>光インパルス</v>
      </c>
      <c r="BI55" s="49">
        <f t="shared" si="121"/>
        <v>6</v>
      </c>
      <c r="BJ55" s="49">
        <f t="shared" si="122"/>
        <v>1</v>
      </c>
      <c r="BK55" s="50">
        <f t="shared" si="123"/>
        <v>1</v>
      </c>
      <c r="BL55" s="52" t="str">
        <f t="shared" si="124"/>
        <v>湖北フレンズ</v>
      </c>
    </row>
    <row r="56" spans="1:64" ht="19.5" customHeight="1">
      <c r="A56" s="107" t="s">
        <v>115</v>
      </c>
      <c r="B56" s="43"/>
      <c r="C56" s="44">
        <v>8</v>
      </c>
      <c r="D56" s="44"/>
      <c r="E56" s="45">
        <v>4</v>
      </c>
      <c r="F56" s="43"/>
      <c r="G56" s="44">
        <v>4</v>
      </c>
      <c r="H56" s="44"/>
      <c r="I56" s="45">
        <v>5</v>
      </c>
      <c r="J56" s="43"/>
      <c r="K56" s="44">
        <v>9</v>
      </c>
      <c r="L56" s="44"/>
      <c r="M56" s="45">
        <v>2</v>
      </c>
      <c r="N56" s="43"/>
      <c r="O56" s="44">
        <v>2</v>
      </c>
      <c r="P56" s="44"/>
      <c r="Q56" s="45">
        <v>17</v>
      </c>
      <c r="R56" s="43"/>
      <c r="S56" s="44">
        <v>4</v>
      </c>
      <c r="T56" s="44"/>
      <c r="U56" s="45">
        <v>2</v>
      </c>
      <c r="V56" s="43"/>
      <c r="W56" s="44"/>
      <c r="X56" s="44"/>
      <c r="Y56" s="45"/>
      <c r="Z56" s="43"/>
      <c r="AA56" s="44">
        <f>IF(Y57="","",Y57)</f>
        <v>6</v>
      </c>
      <c r="AB56" s="44"/>
      <c r="AC56" s="45">
        <f>IF(W57="","",W57)</f>
        <v>5</v>
      </c>
      <c r="AD56" s="43"/>
      <c r="AE56" s="44">
        <f>IF(Y58="","",Y58)</f>
      </c>
      <c r="AF56" s="44"/>
      <c r="AG56" s="45">
        <f>IF(W58="","",W58)</f>
      </c>
      <c r="AH56" s="37">
        <f t="shared" si="102"/>
        <v>4</v>
      </c>
      <c r="AI56" s="37">
        <f t="shared" si="103"/>
        <v>2</v>
      </c>
      <c r="AJ56" s="37">
        <f t="shared" si="104"/>
        <v>0</v>
      </c>
      <c r="AK56" s="38">
        <f t="shared" si="105"/>
        <v>8</v>
      </c>
      <c r="AL56" s="39">
        <f t="shared" si="106"/>
        <v>0</v>
      </c>
      <c r="AM56" s="40">
        <f t="shared" si="107"/>
        <v>0</v>
      </c>
      <c r="AN56" s="41">
        <f t="shared" si="108"/>
        <v>8</v>
      </c>
      <c r="AO56" s="37">
        <f t="shared" si="109"/>
        <v>33</v>
      </c>
      <c r="AP56" s="37">
        <f t="shared" si="110"/>
        <v>35</v>
      </c>
      <c r="AQ56" s="37">
        <f t="shared" si="100"/>
        <v>-2</v>
      </c>
      <c r="AR56" s="1"/>
      <c r="AS56" s="1"/>
      <c r="AT56" s="49">
        <f>AY56+COUNTIF(AY$50:AY55,AY56)</f>
        <v>3</v>
      </c>
      <c r="AU56" s="51" t="str">
        <f t="shared" si="111"/>
        <v>沼南フラワーズ</v>
      </c>
      <c r="AV56" s="49">
        <f t="shared" si="101"/>
        <v>8</v>
      </c>
      <c r="AW56" s="49">
        <f t="shared" si="112"/>
        <v>4</v>
      </c>
      <c r="AX56" s="49">
        <f t="shared" si="113"/>
        <v>6</v>
      </c>
      <c r="AY56" s="49">
        <f t="shared" si="114"/>
        <v>2</v>
      </c>
      <c r="AZ56" s="50">
        <f t="shared" si="115"/>
        <v>6</v>
      </c>
      <c r="BA56" s="52" t="str">
        <f t="shared" si="116"/>
        <v>光インパルス</v>
      </c>
      <c r="BB56" s="52">
        <f t="shared" si="117"/>
        <v>2</v>
      </c>
      <c r="BC56" s="52">
        <f t="shared" si="118"/>
        <v>1</v>
      </c>
      <c r="BD56" s="52">
        <f t="shared" si="119"/>
        <v>6</v>
      </c>
      <c r="BE56" s="62"/>
      <c r="BG56" s="49">
        <f>BJ56+COUNTIF(BJ$50:BJ55,BJ56)</f>
        <v>4</v>
      </c>
      <c r="BH56" s="51" t="str">
        <f t="shared" si="120"/>
        <v>沼南フラワーズ</v>
      </c>
      <c r="BI56" s="49">
        <f t="shared" si="121"/>
        <v>6</v>
      </c>
      <c r="BJ56" s="49">
        <f t="shared" si="122"/>
        <v>1</v>
      </c>
      <c r="BK56" s="50">
        <f t="shared" si="123"/>
        <v>6</v>
      </c>
      <c r="BL56" s="52" t="str">
        <f t="shared" si="124"/>
        <v>セントラルパークス</v>
      </c>
    </row>
    <row r="57" spans="1:64" ht="19.5" customHeight="1">
      <c r="A57" s="107" t="s">
        <v>116</v>
      </c>
      <c r="B57" s="43"/>
      <c r="C57" s="44">
        <v>1</v>
      </c>
      <c r="D57" s="44"/>
      <c r="E57" s="45">
        <v>14</v>
      </c>
      <c r="F57" s="43"/>
      <c r="G57" s="44">
        <v>2</v>
      </c>
      <c r="H57" s="44"/>
      <c r="I57" s="45">
        <v>4</v>
      </c>
      <c r="J57" s="43"/>
      <c r="K57" s="44">
        <v>5</v>
      </c>
      <c r="L57" s="44"/>
      <c r="M57" s="45">
        <v>3</v>
      </c>
      <c r="N57" s="43"/>
      <c r="O57" s="44">
        <v>1</v>
      </c>
      <c r="P57" s="44"/>
      <c r="Q57" s="45">
        <v>5</v>
      </c>
      <c r="R57" s="43"/>
      <c r="S57" s="44">
        <v>20</v>
      </c>
      <c r="T57" s="44"/>
      <c r="U57" s="45">
        <v>2</v>
      </c>
      <c r="V57" s="43"/>
      <c r="W57" s="44">
        <v>5</v>
      </c>
      <c r="X57" s="44"/>
      <c r="Y57" s="45">
        <v>6</v>
      </c>
      <c r="Z57" s="43"/>
      <c r="AA57" s="44"/>
      <c r="AB57" s="44"/>
      <c r="AC57" s="45"/>
      <c r="AD57" s="43"/>
      <c r="AE57" s="44">
        <f>IF(AC58="","",AC58)</f>
      </c>
      <c r="AF57" s="44"/>
      <c r="AG57" s="45">
        <f>IF(AA58="","",AA58)</f>
      </c>
      <c r="AH57" s="37">
        <f t="shared" si="102"/>
        <v>2</v>
      </c>
      <c r="AI57" s="37">
        <f t="shared" si="103"/>
        <v>4</v>
      </c>
      <c r="AJ57" s="37">
        <f t="shared" si="104"/>
        <v>0</v>
      </c>
      <c r="AK57" s="38">
        <f t="shared" si="105"/>
        <v>4</v>
      </c>
      <c r="AL57" s="39">
        <f t="shared" si="106"/>
        <v>0</v>
      </c>
      <c r="AM57" s="40">
        <f t="shared" si="107"/>
        <v>0</v>
      </c>
      <c r="AN57" s="41">
        <f t="shared" si="108"/>
        <v>4</v>
      </c>
      <c r="AO57" s="37">
        <f t="shared" si="109"/>
        <v>34</v>
      </c>
      <c r="AP57" s="37">
        <f t="shared" si="110"/>
        <v>34</v>
      </c>
      <c r="AQ57" s="37">
        <f t="shared" si="100"/>
        <v>0</v>
      </c>
      <c r="AR57" s="1"/>
      <c r="AS57" s="1"/>
      <c r="AT57" s="49">
        <f>AY57+COUNTIF(AY$50:AY56,AY57)</f>
        <v>5</v>
      </c>
      <c r="AU57" s="51" t="str">
        <f t="shared" si="111"/>
        <v>湖北フレンズ</v>
      </c>
      <c r="AV57" s="49">
        <f t="shared" si="101"/>
        <v>4</v>
      </c>
      <c r="AW57" s="49">
        <f t="shared" si="112"/>
        <v>2</v>
      </c>
      <c r="AX57" s="49">
        <f t="shared" si="113"/>
        <v>6</v>
      </c>
      <c r="AY57" s="49">
        <f t="shared" si="114"/>
        <v>5</v>
      </c>
      <c r="AZ57" s="50">
        <f t="shared" si="115"/>
        <v>7</v>
      </c>
      <c r="BA57" s="52" t="str">
        <f t="shared" si="116"/>
        <v>牧の原ジュニアーズ</v>
      </c>
      <c r="BB57" s="52">
        <f t="shared" si="117"/>
        <v>0</v>
      </c>
      <c r="BC57" s="52">
        <f t="shared" si="118"/>
        <v>0</v>
      </c>
      <c r="BD57" s="52">
        <f t="shared" si="119"/>
        <v>5</v>
      </c>
      <c r="BE57" s="62"/>
      <c r="BG57" s="49">
        <f>BJ57+COUNTIF(BJ$50:BJ56,BJ57)</f>
        <v>5</v>
      </c>
      <c r="BH57" s="51" t="str">
        <f t="shared" si="120"/>
        <v>湖北フレンズ</v>
      </c>
      <c r="BI57" s="49">
        <f t="shared" si="121"/>
        <v>6</v>
      </c>
      <c r="BJ57" s="49">
        <f t="shared" si="122"/>
        <v>1</v>
      </c>
      <c r="BK57" s="50">
        <f t="shared" si="123"/>
        <v>6</v>
      </c>
      <c r="BL57" s="52" t="str">
        <f t="shared" si="124"/>
        <v>牧の原ジュニアーズ</v>
      </c>
    </row>
    <row r="58" spans="1:64" ht="19.5" customHeight="1">
      <c r="A58" s="106"/>
      <c r="B58" s="43"/>
      <c r="C58" s="44"/>
      <c r="D58" s="44"/>
      <c r="E58" s="45"/>
      <c r="F58" s="43"/>
      <c r="G58" s="44"/>
      <c r="H58" s="44"/>
      <c r="I58" s="45"/>
      <c r="J58" s="43"/>
      <c r="K58" s="44"/>
      <c r="L58" s="44"/>
      <c r="M58" s="45"/>
      <c r="N58" s="43"/>
      <c r="O58" s="44"/>
      <c r="P58" s="44"/>
      <c r="Q58" s="45"/>
      <c r="R58" s="43"/>
      <c r="S58" s="44"/>
      <c r="T58" s="44"/>
      <c r="U58" s="45"/>
      <c r="V58" s="43"/>
      <c r="W58" s="44"/>
      <c r="X58" s="44"/>
      <c r="Y58" s="45"/>
      <c r="Z58" s="43"/>
      <c r="AA58" s="44"/>
      <c r="AB58" s="44"/>
      <c r="AC58" s="45"/>
      <c r="AD58" s="43"/>
      <c r="AE58" s="44"/>
      <c r="AF58" s="44"/>
      <c r="AG58" s="45"/>
      <c r="AH58" s="37"/>
      <c r="AI58" s="37"/>
      <c r="AJ58" s="37"/>
      <c r="AK58" s="38"/>
      <c r="AL58" s="39"/>
      <c r="AM58" s="40"/>
      <c r="AN58" s="41"/>
      <c r="AO58" s="37"/>
      <c r="AP58" s="37"/>
      <c r="AQ58" s="37"/>
      <c r="AR58" s="1"/>
      <c r="AS58" s="1"/>
      <c r="AT58" s="49"/>
      <c r="AU58" s="51"/>
      <c r="AV58" s="49">
        <f>+AN58</f>
        <v>0</v>
      </c>
      <c r="AW58" s="49">
        <f>+AH58</f>
        <v>0</v>
      </c>
      <c r="AX58" s="49">
        <f>+AH58+AI58+AJ58</f>
        <v>0</v>
      </c>
      <c r="AY58" s="49"/>
      <c r="AZ58" s="50"/>
      <c r="BA58" s="52"/>
      <c r="BB58" s="52"/>
      <c r="BC58" s="52"/>
      <c r="BD58" s="52"/>
      <c r="BE58" s="62"/>
      <c r="BG58" s="49"/>
      <c r="BH58" s="51"/>
      <c r="BI58" s="49"/>
      <c r="BJ58" s="49"/>
      <c r="BK58" s="50"/>
      <c r="BL58" s="52"/>
    </row>
    <row r="59" spans="1:62" ht="19.5" customHeight="1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7"/>
      <c r="AI59" s="7">
        <f>SUM(AH51:AH58)</f>
        <v>19</v>
      </c>
      <c r="AJ59" s="7">
        <f>SUM(AI51:AI58)</f>
        <v>19</v>
      </c>
      <c r="AK59" s="7">
        <f>SUM(AJ51:AJ58)</f>
        <v>2</v>
      </c>
      <c r="AL59" s="7">
        <f>SUM(AH51:AH58)</f>
        <v>19</v>
      </c>
      <c r="AM59" s="7">
        <f>SUM(AI51:AI58)</f>
        <v>19</v>
      </c>
      <c r="AN59" s="7">
        <f>SUM(AJ51:AJ58)</f>
        <v>2</v>
      </c>
      <c r="AO59" s="7"/>
      <c r="AP59" s="7"/>
      <c r="AQ59" s="1"/>
      <c r="AR59" s="1"/>
      <c r="AS59" s="7">
        <f>SUM(AO51:AO58)</f>
        <v>222</v>
      </c>
      <c r="AT59" s="7">
        <f>SUM(AP51:AP58)</f>
        <v>222</v>
      </c>
      <c r="AU59" s="7">
        <f>SUM(AQ51:AQ58)</f>
        <v>0</v>
      </c>
      <c r="BI59" s="60">
        <f>SUM(BI51:BI58)/2</f>
        <v>20</v>
      </c>
      <c r="BJ59" s="3">
        <f>7*6/2</f>
        <v>21</v>
      </c>
    </row>
    <row r="60" spans="1:47" ht="19.5" customHeight="1">
      <c r="A60" s="4" t="s">
        <v>4</v>
      </c>
      <c r="B60" s="90" t="s">
        <v>71</v>
      </c>
      <c r="C60" s="58"/>
      <c r="D60" s="58"/>
      <c r="E60" s="58"/>
      <c r="F60" s="58"/>
      <c r="G60" s="158" t="str">
        <f>"１日"&amp;ROUND((BJ70-BI70)/'戦績'!N42,1)&amp;"試合"</f>
        <v>１日0試合</v>
      </c>
      <c r="H60" s="158"/>
      <c r="I60" s="158"/>
      <c r="J60" s="158"/>
      <c r="K60" s="153" t="s">
        <v>24</v>
      </c>
      <c r="L60" s="153"/>
      <c r="M60" s="153"/>
      <c r="N60" s="153"/>
      <c r="O60" s="154" t="str">
        <f>IF(C83&gt;C82,+BA62,"")</f>
        <v>大橋みどりファイターズ</v>
      </c>
      <c r="P60" s="154"/>
      <c r="Q60" s="154"/>
      <c r="R60" s="154"/>
      <c r="S60" s="154"/>
      <c r="T60" s="59"/>
      <c r="U60" s="153" t="s">
        <v>25</v>
      </c>
      <c r="V60" s="153"/>
      <c r="W60" s="153"/>
      <c r="X60" s="153"/>
      <c r="Y60" s="154" t="str">
        <f>IF(C83&gt;C82,+BA63,"")</f>
        <v>松葉ニューセラミックス</v>
      </c>
      <c r="Z60" s="154"/>
      <c r="AA60" s="154"/>
      <c r="AB60" s="154"/>
      <c r="AC60" s="154"/>
      <c r="AD60" s="154"/>
      <c r="AE60" s="1"/>
      <c r="AF60" s="61" t="s">
        <v>30</v>
      </c>
      <c r="AG60" s="1"/>
      <c r="AH60" s="1"/>
      <c r="AI60" s="1"/>
      <c r="AJ60" s="151">
        <f>+BI70/(MAX(AT62:AT68)*(MAX(AT62:AT68)-1)/2)</f>
        <v>1</v>
      </c>
      <c r="AK60" s="151"/>
      <c r="AL60" s="67">
        <f>IF(AL59=AM59,"","計算間違い")</f>
      </c>
      <c r="AM60" s="1"/>
      <c r="AN60" s="1"/>
      <c r="AO60" s="1"/>
      <c r="AP60" s="67">
        <f>IF(AN59/2=TRUNC(AN59/2,0),"","計算間違い")</f>
      </c>
      <c r="AQ60" s="1"/>
      <c r="AR60" s="1"/>
      <c r="AS60" s="1"/>
      <c r="AT60" s="1"/>
      <c r="AU60" s="1"/>
    </row>
    <row r="61" spans="1:61" ht="19.5" customHeight="1">
      <c r="A61" s="5"/>
      <c r="B61" s="152" t="str">
        <f>+A62</f>
        <v>串崎スワローズ</v>
      </c>
      <c r="C61" s="152"/>
      <c r="D61" s="152"/>
      <c r="E61" s="152"/>
      <c r="F61" s="152" t="str">
        <f>+A63</f>
        <v>大橋みどりファイターズ</v>
      </c>
      <c r="G61" s="152"/>
      <c r="H61" s="152"/>
      <c r="I61" s="152"/>
      <c r="J61" s="152" t="str">
        <f>+A64</f>
        <v>八柱サンジュニアーズ</v>
      </c>
      <c r="K61" s="152"/>
      <c r="L61" s="152"/>
      <c r="M61" s="152"/>
      <c r="N61" s="152" t="str">
        <f>+A65</f>
        <v>七次台ジャガース</v>
      </c>
      <c r="O61" s="152"/>
      <c r="P61" s="152"/>
      <c r="Q61" s="152"/>
      <c r="R61" s="152" t="str">
        <f>+A66</f>
        <v>松葉ニューセラミックス</v>
      </c>
      <c r="S61" s="152"/>
      <c r="T61" s="152"/>
      <c r="U61" s="152"/>
      <c r="V61" s="152" t="str">
        <f>+A67</f>
        <v>柏ボーイング</v>
      </c>
      <c r="W61" s="152"/>
      <c r="X61" s="152"/>
      <c r="Y61" s="152"/>
      <c r="Z61" s="152" t="str">
        <f>+A68</f>
        <v>新木ファイターズ</v>
      </c>
      <c r="AA61" s="152"/>
      <c r="AB61" s="152"/>
      <c r="AC61" s="152"/>
      <c r="AD61" s="152"/>
      <c r="AE61" s="152"/>
      <c r="AF61" s="152"/>
      <c r="AG61" s="152"/>
      <c r="AH61" s="32" t="s">
        <v>7</v>
      </c>
      <c r="AI61" s="32" t="s">
        <v>8</v>
      </c>
      <c r="AJ61" s="32" t="s">
        <v>9</v>
      </c>
      <c r="AK61" s="33" t="s">
        <v>14</v>
      </c>
      <c r="AL61" s="34" t="s">
        <v>15</v>
      </c>
      <c r="AM61" s="35" t="s">
        <v>16</v>
      </c>
      <c r="AN61" s="36" t="s">
        <v>10</v>
      </c>
      <c r="AO61" s="32" t="s">
        <v>11</v>
      </c>
      <c r="AP61" s="32" t="s">
        <v>12</v>
      </c>
      <c r="AQ61" s="32" t="s">
        <v>13</v>
      </c>
      <c r="AR61" s="1"/>
      <c r="AS61" s="1"/>
      <c r="AU61" s="3" t="s">
        <v>21</v>
      </c>
      <c r="AV61" s="3" t="s">
        <v>22</v>
      </c>
      <c r="BH61" s="3" t="s">
        <v>21</v>
      </c>
      <c r="BI61" s="3" t="s">
        <v>23</v>
      </c>
    </row>
    <row r="62" spans="1:64" ht="19.5" customHeight="1">
      <c r="A62" s="107" t="s">
        <v>117</v>
      </c>
      <c r="B62" s="43"/>
      <c r="C62" s="44"/>
      <c r="D62" s="44"/>
      <c r="E62" s="45"/>
      <c r="F62" s="43"/>
      <c r="G62" s="44">
        <f>IF(E63="","",E63)</f>
        <v>1</v>
      </c>
      <c r="H62" s="44"/>
      <c r="I62" s="45">
        <f>IF(C63="","",C63)</f>
        <v>3</v>
      </c>
      <c r="J62" s="43"/>
      <c r="K62" s="44">
        <f>IF(E64="","",E64)</f>
        <v>2</v>
      </c>
      <c r="L62" s="44"/>
      <c r="M62" s="45">
        <f>IF(C64="","",C64)</f>
        <v>2</v>
      </c>
      <c r="N62" s="43"/>
      <c r="O62" s="44">
        <f>IF(E65="","",E65)</f>
        <v>1</v>
      </c>
      <c r="P62" s="44"/>
      <c r="Q62" s="45">
        <f>IF(C65="","",C65)</f>
        <v>1</v>
      </c>
      <c r="R62" s="43"/>
      <c r="S62" s="44">
        <f>IF(E66="","",E66)</f>
        <v>1</v>
      </c>
      <c r="T62" s="44"/>
      <c r="U62" s="45">
        <f>IF(C66="","",C66)</f>
        <v>2</v>
      </c>
      <c r="V62" s="43"/>
      <c r="W62" s="44">
        <f>IF(E67="","",E67)</f>
        <v>6</v>
      </c>
      <c r="X62" s="44"/>
      <c r="Y62" s="45">
        <f>IF(C67="","",C67)</f>
        <v>4</v>
      </c>
      <c r="Z62" s="43"/>
      <c r="AA62" s="44">
        <f>IF(E68="","",E68)</f>
        <v>3</v>
      </c>
      <c r="AB62" s="44"/>
      <c r="AC62" s="45">
        <f>IF(C68="","",C68)</f>
        <v>3</v>
      </c>
      <c r="AD62" s="43"/>
      <c r="AE62" s="44">
        <f>IF(E69="","",E69)</f>
      </c>
      <c r="AF62" s="44"/>
      <c r="AG62" s="45">
        <f>IF(C69="","",C69)</f>
      </c>
      <c r="AH62" s="37">
        <f>IF(C62&gt;E62,1,0)+IF(G62&gt;I62,1,0)+IF(K62&gt;M62,1,0)+IF(O62&gt;Q62,1,0)+IF(S62&gt;U62,1,0)+IF(W62&gt;Y62,1,0)+IF(AA62&gt;AC62,1,0)+IF(AE62&gt;AG62,1,0)</f>
        <v>1</v>
      </c>
      <c r="AI62" s="37">
        <f>IF(C62&lt;E62,1,0)+IF(G62&lt;I62,1,0)+IF(K62&lt;M62,1,0)+IF(O62&lt;Q62,1,0)+IF(S62&lt;U62,1,0)+IF(W62&lt;Y62,1,0)+IF(AA62&lt;AC62,1,0)+IF(AE62&lt;AG62,1,0)</f>
        <v>2</v>
      </c>
      <c r="AJ62" s="37">
        <f>IF(AND(ISNUMBER(C62),C62=E62),1,0)+IF(AND(ISNUMBER(G62),G62=I62),1,0)+IF(AND(ISNUMBER(K62),K62=M62),1,)+IF(AND(ISNUMBER(O62),O62=Q62),1,0)+IF(AND(ISNUMBER(S62),S62=U62),1,0)+IF(AND(ISNUMBER(W62),W62=Y62),1,0)+IF(AND(ISNUMBER(AA62),AA62=AC62),1,0)+IF(AND(ISNUMBER(AE62),AE62=AG62),1,0)</f>
        <v>3</v>
      </c>
      <c r="AK62" s="38">
        <f>AH62*2</f>
        <v>2</v>
      </c>
      <c r="AL62" s="39">
        <f>AI62*0</f>
        <v>0</v>
      </c>
      <c r="AM62" s="40">
        <f>AJ62*1</f>
        <v>3</v>
      </c>
      <c r="AN62" s="41">
        <f>AK62+AL62+AM62</f>
        <v>5</v>
      </c>
      <c r="AO62" s="37">
        <f>IF(ISNUMBER(G62),G62,0)+IF(ISNUMBER(K62),K62,0)+IF(ISNUMBER(O62),O62,0)+IF(ISNUMBER(AA62),AA62,0)+IF(ISNUMBER(AE62),AE62,0)+IF(ISNUMBER(S62),S62,0)+IF(ISNUMBER(W62),W62,0)+IF(ISNUMBER(C62),C62,0)</f>
        <v>14</v>
      </c>
      <c r="AP62" s="37">
        <f>IF(ISNUMBER(I62),I62,0)+IF(ISNUMBER(M62),M62,0)+IF(ISNUMBER(Q62),Q62,0)+IF(ISNUMBER(AC62),AC62,0)+IF(ISNUMBER(AG62),AG62,0)+IF(ISNUMBER(U62),U62,0)+IF(ISNUMBER(Y62),Y62,0)+IF(ISNUMBER(E62),E62,0)</f>
        <v>15</v>
      </c>
      <c r="AQ62" s="37">
        <f aca="true" t="shared" si="125" ref="AQ62:AQ68">AO62-AP62</f>
        <v>-1</v>
      </c>
      <c r="AR62" s="1"/>
      <c r="AS62" s="1"/>
      <c r="AT62" s="49">
        <f>AY62+COUNTIF(AY$61:AY61,AY62)</f>
        <v>5</v>
      </c>
      <c r="AU62" s="51" t="str">
        <f>+A62</f>
        <v>串崎スワローズ</v>
      </c>
      <c r="AV62" s="49">
        <f aca="true" t="shared" si="126" ref="AV62:AV68">+AN62</f>
        <v>5</v>
      </c>
      <c r="AW62" s="49">
        <f>+AH62</f>
        <v>1</v>
      </c>
      <c r="AX62" s="49">
        <f>+AH62+AI62+AJ62</f>
        <v>6</v>
      </c>
      <c r="AY62" s="49">
        <f>RANK(AV62,AV$62:AV$69)</f>
        <v>5</v>
      </c>
      <c r="AZ62" s="50">
        <f>VLOOKUP(ROW(AX1),$AT$62:$AY$68,6,FALSE)</f>
        <v>1</v>
      </c>
      <c r="BA62" s="52" t="str">
        <f>VLOOKUP(ROW(AX1),$AT$62:$AY$68,2,FALSE)</f>
        <v>大橋みどりファイターズ</v>
      </c>
      <c r="BB62" s="52">
        <f>VLOOKUP(ROW(AX1),$AT$62:$AY$68,3,FALSE)</f>
        <v>12</v>
      </c>
      <c r="BC62" s="52">
        <f>VLOOKUP(ROW(AX1),$AT$62:$AY$68,4,FALSE)</f>
        <v>6</v>
      </c>
      <c r="BD62" s="52">
        <f>VLOOKUP(ROW(AX1),$AT$62:$AY$68,5,FALSE)</f>
        <v>6</v>
      </c>
      <c r="BE62" s="62"/>
      <c r="BG62" s="49">
        <f>BJ62+COUNTIF(BJ$61:BJ61,BJ62)</f>
        <v>1</v>
      </c>
      <c r="BH62" s="51" t="str">
        <f>+AU62</f>
        <v>串崎スワローズ</v>
      </c>
      <c r="BI62" s="49">
        <f>COUNT(B62:AG62)/2</f>
        <v>6</v>
      </c>
      <c r="BJ62" s="49">
        <f>RANK(BI62,BI$62:BI$68)</f>
        <v>1</v>
      </c>
      <c r="BK62" s="50">
        <f>VLOOKUP(ROW(BK1),$BG$62:$BJ$68,4,FALSE)</f>
        <v>1</v>
      </c>
      <c r="BL62" s="52" t="str">
        <f>VLOOKUP(ROW(BL1),$BG$62:$BJ$68,2,FALSE)</f>
        <v>串崎スワローズ</v>
      </c>
    </row>
    <row r="63" spans="1:64" ht="19.5" customHeight="1">
      <c r="A63" s="107" t="s">
        <v>118</v>
      </c>
      <c r="B63" s="43"/>
      <c r="C63" s="44">
        <v>3</v>
      </c>
      <c r="D63" s="44"/>
      <c r="E63" s="45">
        <v>1</v>
      </c>
      <c r="F63" s="43"/>
      <c r="G63" s="44"/>
      <c r="H63" s="44"/>
      <c r="I63" s="45"/>
      <c r="J63" s="43"/>
      <c r="K63" s="44">
        <f>IF(I64="","",I64)</f>
        <v>5</v>
      </c>
      <c r="L63" s="44"/>
      <c r="M63" s="45">
        <f>IF(G64="","",G64)</f>
        <v>2</v>
      </c>
      <c r="N63" s="43"/>
      <c r="O63" s="44">
        <f>IF(I65="","",I65)</f>
        <v>3</v>
      </c>
      <c r="P63" s="44"/>
      <c r="Q63" s="45">
        <f>IF(G65="","",G65)</f>
        <v>1</v>
      </c>
      <c r="R63" s="43"/>
      <c r="S63" s="44">
        <f>IF(I66="","",I66)</f>
        <v>5</v>
      </c>
      <c r="T63" s="44"/>
      <c r="U63" s="45">
        <f>IF(G66="","",G66)</f>
        <v>1</v>
      </c>
      <c r="V63" s="43"/>
      <c r="W63" s="44">
        <f>IF(I67="","",I67)</f>
        <v>10</v>
      </c>
      <c r="X63" s="44"/>
      <c r="Y63" s="45">
        <f>IF(G67="","",G67)</f>
        <v>6</v>
      </c>
      <c r="Z63" s="43"/>
      <c r="AA63" s="44">
        <f>IF(I68="","",I68)</f>
        <v>20</v>
      </c>
      <c r="AB63" s="44"/>
      <c r="AC63" s="45">
        <f>IF(G68="","",G68)</f>
        <v>0</v>
      </c>
      <c r="AD63" s="43"/>
      <c r="AE63" s="44">
        <f>IF(I69="","",I69)</f>
      </c>
      <c r="AF63" s="44"/>
      <c r="AG63" s="45">
        <f>IF(G69="","",G69)</f>
      </c>
      <c r="AH63" s="37">
        <f aca="true" t="shared" si="127" ref="AH63:AH68">IF(C63&gt;E63,1,0)+IF(G63&gt;I63,1,0)+IF(K63&gt;M63,1,0)+IF(O63&gt;Q63,1,0)+IF(S63&gt;U63,1,0)+IF(W63&gt;Y63,1,0)+IF(AA63&gt;AC63,1,0)+IF(AE63&gt;AG63,1,0)</f>
        <v>6</v>
      </c>
      <c r="AI63" s="37">
        <f aca="true" t="shared" si="128" ref="AI63:AI68">IF(C63&lt;E63,1,0)+IF(G63&lt;I63,1,0)+IF(K63&lt;M63,1,0)+IF(O63&lt;Q63,1,0)+IF(S63&lt;U63,1,0)+IF(W63&lt;Y63,1,0)+IF(AA63&lt;AC63,1,0)+IF(AE63&lt;AG63,1,0)</f>
        <v>0</v>
      </c>
      <c r="AJ63" s="37">
        <f aca="true" t="shared" si="129" ref="AJ63:AJ68">IF(AND(ISNUMBER(C63),C63=E63),1,0)+IF(AND(ISNUMBER(G63),G63=I63),1,0)+IF(AND(ISNUMBER(K63),K63=M63),1,)+IF(AND(ISNUMBER(O63),O63=Q63),1,0)+IF(AND(ISNUMBER(S63),S63=U63),1,0)+IF(AND(ISNUMBER(W63),W63=Y63),1,0)+IF(AND(ISNUMBER(AA63),AA63=AC63),1,0)+IF(AND(ISNUMBER(AE63),AE63=AG63),1,0)</f>
        <v>0</v>
      </c>
      <c r="AK63" s="38">
        <f aca="true" t="shared" si="130" ref="AK63:AK68">AH63*2</f>
        <v>12</v>
      </c>
      <c r="AL63" s="39">
        <f aca="true" t="shared" si="131" ref="AL63:AL68">AI63*0</f>
        <v>0</v>
      </c>
      <c r="AM63" s="40">
        <f aca="true" t="shared" si="132" ref="AM63:AM68">AJ63*1</f>
        <v>0</v>
      </c>
      <c r="AN63" s="41">
        <f aca="true" t="shared" si="133" ref="AN63:AN68">AK63+AL63+AM63</f>
        <v>12</v>
      </c>
      <c r="AO63" s="37">
        <f aca="true" t="shared" si="134" ref="AO63:AO68">IF(ISNUMBER(G63),G63,0)+IF(ISNUMBER(K63),K63,0)+IF(ISNUMBER(O63),O63,0)+IF(ISNUMBER(AA63),AA63,0)+IF(ISNUMBER(AE63),AE63,0)+IF(ISNUMBER(S63),S63,0)+IF(ISNUMBER(W63),W63,0)+IF(ISNUMBER(C63),C63,0)</f>
        <v>46</v>
      </c>
      <c r="AP63" s="37">
        <f aca="true" t="shared" si="135" ref="AP63:AP68">IF(ISNUMBER(I63),I63,0)+IF(ISNUMBER(M63),M63,0)+IF(ISNUMBER(Q63),Q63,0)+IF(ISNUMBER(AC63),AC63,0)+IF(ISNUMBER(AG63),AG63,0)+IF(ISNUMBER(U63),U63,0)+IF(ISNUMBER(Y63),Y63,0)+IF(ISNUMBER(E63),E63,0)</f>
        <v>11</v>
      </c>
      <c r="AQ63" s="32">
        <f t="shared" si="125"/>
        <v>35</v>
      </c>
      <c r="AR63" s="1"/>
      <c r="AS63" s="1"/>
      <c r="AT63" s="49">
        <f>AY63+COUNTIF(AY$61:AY62,AY63)</f>
        <v>1</v>
      </c>
      <c r="AU63" s="51" t="str">
        <f aca="true" t="shared" si="136" ref="AU63:AU68">+A63</f>
        <v>大橋みどりファイターズ</v>
      </c>
      <c r="AV63" s="49">
        <f t="shared" si="126"/>
        <v>12</v>
      </c>
      <c r="AW63" s="49">
        <f aca="true" t="shared" si="137" ref="AW63:AW68">+AH63</f>
        <v>6</v>
      </c>
      <c r="AX63" s="49">
        <f aca="true" t="shared" si="138" ref="AX63:AX68">+AH63+AI63+AJ63</f>
        <v>6</v>
      </c>
      <c r="AY63" s="49">
        <f aca="true" t="shared" si="139" ref="AY63:AY68">RANK(AV63,AV$62:AV$69)</f>
        <v>1</v>
      </c>
      <c r="AZ63" s="50">
        <f aca="true" t="shared" si="140" ref="AZ63:AZ68">VLOOKUP(ROW(AX2),$AT$62:$AY$68,6,FALSE)</f>
        <v>2</v>
      </c>
      <c r="BA63" s="52" t="str">
        <f aca="true" t="shared" si="141" ref="BA63:BA68">VLOOKUP(ROW(AX2),$AT$62:$AY$68,2,FALSE)</f>
        <v>松葉ニューセラミックス</v>
      </c>
      <c r="BB63" s="52">
        <f aca="true" t="shared" si="142" ref="BB63:BB68">VLOOKUP(ROW(AX2),$AT$62:$AY$68,3,FALSE)</f>
        <v>8</v>
      </c>
      <c r="BC63" s="52">
        <f aca="true" t="shared" si="143" ref="BC63:BC68">VLOOKUP(ROW(AX2),$AT$62:$AY$68,4,FALSE)</f>
        <v>4</v>
      </c>
      <c r="BD63" s="52">
        <f aca="true" t="shared" si="144" ref="BD63:BD68">VLOOKUP(ROW(AX2),$AT$62:$AY$68,5,FALSE)</f>
        <v>6</v>
      </c>
      <c r="BE63" s="62"/>
      <c r="BG63" s="49">
        <f>BJ63+COUNTIF(BJ$61:BJ62,BJ63)</f>
        <v>2</v>
      </c>
      <c r="BH63" s="51" t="str">
        <f aca="true" t="shared" si="145" ref="BH63:BH68">+AU63</f>
        <v>大橋みどりファイターズ</v>
      </c>
      <c r="BI63" s="49">
        <f aca="true" t="shared" si="146" ref="BI63:BI68">COUNT(B63:AG63)/2</f>
        <v>6</v>
      </c>
      <c r="BJ63" s="49">
        <f aca="true" t="shared" si="147" ref="BJ63:BJ68">RANK(BI63,BI$62:BI$68)</f>
        <v>1</v>
      </c>
      <c r="BK63" s="50">
        <f aca="true" t="shared" si="148" ref="BK63:BK68">VLOOKUP(ROW(BK2),$BG$62:$BJ$68,4,FALSE)</f>
        <v>1</v>
      </c>
      <c r="BL63" s="52" t="str">
        <f aca="true" t="shared" si="149" ref="BL63:BL68">VLOOKUP(ROW(BL2),$BG$62:$BJ$68,2,FALSE)</f>
        <v>大橋みどりファイターズ</v>
      </c>
    </row>
    <row r="64" spans="1:64" ht="19.5" customHeight="1">
      <c r="A64" s="107" t="s">
        <v>119</v>
      </c>
      <c r="B64" s="43"/>
      <c r="C64" s="44">
        <v>2</v>
      </c>
      <c r="D64" s="44"/>
      <c r="E64" s="45">
        <v>2</v>
      </c>
      <c r="F64" s="43"/>
      <c r="G64" s="44">
        <v>2</v>
      </c>
      <c r="H64" s="44"/>
      <c r="I64" s="45">
        <v>5</v>
      </c>
      <c r="J64" s="43"/>
      <c r="K64" s="44"/>
      <c r="L64" s="44"/>
      <c r="M64" s="45"/>
      <c r="N64" s="43"/>
      <c r="O64" s="44">
        <f>IF(M65="","",M65)</f>
        <v>2</v>
      </c>
      <c r="P64" s="44"/>
      <c r="Q64" s="45">
        <f>IF(K65="","",K65)</f>
        <v>3</v>
      </c>
      <c r="R64" s="43"/>
      <c r="S64" s="44">
        <f>IF(M66="","",M66)</f>
        <v>4</v>
      </c>
      <c r="T64" s="44"/>
      <c r="U64" s="45">
        <f>IF(K66="","",K66)</f>
        <v>2</v>
      </c>
      <c r="V64" s="43"/>
      <c r="W64" s="44">
        <f>IF(M67="","",M67)</f>
        <v>5</v>
      </c>
      <c r="X64" s="44"/>
      <c r="Y64" s="45">
        <f>IF(K67="","",K67)</f>
        <v>3</v>
      </c>
      <c r="Z64" s="43"/>
      <c r="AA64" s="44">
        <f>IF(M68="","",M68)</f>
        <v>6</v>
      </c>
      <c r="AB64" s="44"/>
      <c r="AC64" s="45">
        <f>IF(K68="","",K68)</f>
        <v>0</v>
      </c>
      <c r="AD64" s="43"/>
      <c r="AE64" s="44">
        <f>IF(M69="","",M69)</f>
      </c>
      <c r="AF64" s="44"/>
      <c r="AG64" s="45">
        <f>IF(K69="","",K69)</f>
      </c>
      <c r="AH64" s="37">
        <f t="shared" si="127"/>
        <v>3</v>
      </c>
      <c r="AI64" s="37">
        <f t="shared" si="128"/>
        <v>2</v>
      </c>
      <c r="AJ64" s="37">
        <f t="shared" si="129"/>
        <v>1</v>
      </c>
      <c r="AK64" s="38">
        <f t="shared" si="130"/>
        <v>6</v>
      </c>
      <c r="AL64" s="39">
        <f t="shared" si="131"/>
        <v>0</v>
      </c>
      <c r="AM64" s="40">
        <f t="shared" si="132"/>
        <v>1</v>
      </c>
      <c r="AN64" s="41">
        <f t="shared" si="133"/>
        <v>7</v>
      </c>
      <c r="AO64" s="37">
        <f t="shared" si="134"/>
        <v>21</v>
      </c>
      <c r="AP64" s="37">
        <f t="shared" si="135"/>
        <v>15</v>
      </c>
      <c r="AQ64" s="42">
        <f t="shared" si="125"/>
        <v>6</v>
      </c>
      <c r="AR64" s="1"/>
      <c r="AS64" s="1"/>
      <c r="AT64" s="49">
        <f>AY64+COUNTIF(AY$61:AY63,AY64)</f>
        <v>3</v>
      </c>
      <c r="AU64" s="51" t="str">
        <f t="shared" si="136"/>
        <v>八柱サンジュニアーズ</v>
      </c>
      <c r="AV64" s="49">
        <f t="shared" si="126"/>
        <v>7</v>
      </c>
      <c r="AW64" s="49">
        <f t="shared" si="137"/>
        <v>3</v>
      </c>
      <c r="AX64" s="49">
        <f t="shared" si="138"/>
        <v>6</v>
      </c>
      <c r="AY64" s="49">
        <f t="shared" si="139"/>
        <v>3</v>
      </c>
      <c r="AZ64" s="50">
        <f t="shared" si="140"/>
        <v>3</v>
      </c>
      <c r="BA64" s="52" t="str">
        <f t="shared" si="141"/>
        <v>八柱サンジュニアーズ</v>
      </c>
      <c r="BB64" s="52">
        <f t="shared" si="142"/>
        <v>7</v>
      </c>
      <c r="BC64" s="52">
        <f t="shared" si="143"/>
        <v>3</v>
      </c>
      <c r="BD64" s="52">
        <f t="shared" si="144"/>
        <v>6</v>
      </c>
      <c r="BE64" s="62"/>
      <c r="BG64" s="49">
        <f>BJ64+COUNTIF(BJ$61:BJ63,BJ64)</f>
        <v>3</v>
      </c>
      <c r="BH64" s="51" t="str">
        <f t="shared" si="145"/>
        <v>八柱サンジュニアーズ</v>
      </c>
      <c r="BI64" s="49">
        <f t="shared" si="146"/>
        <v>6</v>
      </c>
      <c r="BJ64" s="49">
        <f t="shared" si="147"/>
        <v>1</v>
      </c>
      <c r="BK64" s="50">
        <f t="shared" si="148"/>
        <v>1</v>
      </c>
      <c r="BL64" s="52" t="str">
        <f t="shared" si="149"/>
        <v>八柱サンジュニアーズ</v>
      </c>
    </row>
    <row r="65" spans="1:64" ht="19.5" customHeight="1">
      <c r="A65" s="107" t="s">
        <v>120</v>
      </c>
      <c r="B65" s="43"/>
      <c r="C65" s="44">
        <v>1</v>
      </c>
      <c r="D65" s="44"/>
      <c r="E65" s="45">
        <v>1</v>
      </c>
      <c r="F65" s="43"/>
      <c r="G65" s="44">
        <v>1</v>
      </c>
      <c r="H65" s="44"/>
      <c r="I65" s="45">
        <v>3</v>
      </c>
      <c r="J65" s="43"/>
      <c r="K65" s="44">
        <v>3</v>
      </c>
      <c r="L65" s="44"/>
      <c r="M65" s="45">
        <v>2</v>
      </c>
      <c r="N65" s="43"/>
      <c r="O65" s="44"/>
      <c r="P65" s="44"/>
      <c r="Q65" s="45"/>
      <c r="R65" s="43"/>
      <c r="S65" s="44">
        <f>IF(Q66="","",Q66)</f>
        <v>0</v>
      </c>
      <c r="T65" s="44"/>
      <c r="U65" s="45">
        <f>IF(O66="","",O66)</f>
        <v>1</v>
      </c>
      <c r="V65" s="43"/>
      <c r="W65" s="44">
        <f>IF(Q67="","",Q67)</f>
        <v>9</v>
      </c>
      <c r="X65" s="44"/>
      <c r="Y65" s="45">
        <f>IF(O67="","",O67)</f>
        <v>2</v>
      </c>
      <c r="Z65" s="43"/>
      <c r="AA65" s="44">
        <f>IF(Q68="","",Q68)</f>
        <v>9</v>
      </c>
      <c r="AB65" s="44"/>
      <c r="AC65" s="45">
        <f>IF(O68="","",O68)</f>
        <v>1</v>
      </c>
      <c r="AD65" s="43"/>
      <c r="AE65" s="44">
        <f>IF(Q69="","",Q69)</f>
      </c>
      <c r="AF65" s="44"/>
      <c r="AG65" s="45">
        <f>IF(O69="","",O69)</f>
      </c>
      <c r="AH65" s="37">
        <f t="shared" si="127"/>
        <v>3</v>
      </c>
      <c r="AI65" s="37">
        <f t="shared" si="128"/>
        <v>2</v>
      </c>
      <c r="AJ65" s="37">
        <f t="shared" si="129"/>
        <v>1</v>
      </c>
      <c r="AK65" s="38">
        <f t="shared" si="130"/>
        <v>6</v>
      </c>
      <c r="AL65" s="39">
        <f t="shared" si="131"/>
        <v>0</v>
      </c>
      <c r="AM65" s="40">
        <f t="shared" si="132"/>
        <v>1</v>
      </c>
      <c r="AN65" s="41">
        <f t="shared" si="133"/>
        <v>7</v>
      </c>
      <c r="AO65" s="37">
        <f t="shared" si="134"/>
        <v>23</v>
      </c>
      <c r="AP65" s="37">
        <f t="shared" si="135"/>
        <v>10</v>
      </c>
      <c r="AQ65" s="32">
        <f t="shared" si="125"/>
        <v>13</v>
      </c>
      <c r="AR65" s="1"/>
      <c r="AS65" s="1"/>
      <c r="AT65" s="49">
        <f>AY65+COUNTIF(AY$61:AY64,AY65)</f>
        <v>4</v>
      </c>
      <c r="AU65" s="51" t="str">
        <f t="shared" si="136"/>
        <v>七次台ジャガース</v>
      </c>
      <c r="AV65" s="49">
        <f t="shared" si="126"/>
        <v>7</v>
      </c>
      <c r="AW65" s="49">
        <f t="shared" si="137"/>
        <v>3</v>
      </c>
      <c r="AX65" s="49">
        <f t="shared" si="138"/>
        <v>6</v>
      </c>
      <c r="AY65" s="49">
        <f t="shared" si="139"/>
        <v>3</v>
      </c>
      <c r="AZ65" s="50">
        <f t="shared" si="140"/>
        <v>3</v>
      </c>
      <c r="BA65" s="52" t="str">
        <f t="shared" si="141"/>
        <v>七次台ジャガース</v>
      </c>
      <c r="BB65" s="52">
        <f t="shared" si="142"/>
        <v>7</v>
      </c>
      <c r="BC65" s="52">
        <f t="shared" si="143"/>
        <v>3</v>
      </c>
      <c r="BD65" s="52">
        <f t="shared" si="144"/>
        <v>6</v>
      </c>
      <c r="BE65" s="62"/>
      <c r="BG65" s="49">
        <f>BJ65+COUNTIF(BJ$61:BJ64,BJ65)</f>
        <v>4</v>
      </c>
      <c r="BH65" s="51" t="str">
        <f t="shared" si="145"/>
        <v>七次台ジャガース</v>
      </c>
      <c r="BI65" s="49">
        <f t="shared" si="146"/>
        <v>6</v>
      </c>
      <c r="BJ65" s="49">
        <f t="shared" si="147"/>
        <v>1</v>
      </c>
      <c r="BK65" s="50">
        <f t="shared" si="148"/>
        <v>1</v>
      </c>
      <c r="BL65" s="52" t="str">
        <f t="shared" si="149"/>
        <v>七次台ジャガース</v>
      </c>
    </row>
    <row r="66" spans="1:64" ht="19.5" customHeight="1">
      <c r="A66" s="107" t="s">
        <v>121</v>
      </c>
      <c r="B66" s="43"/>
      <c r="C66" s="44">
        <v>2</v>
      </c>
      <c r="D66" s="44"/>
      <c r="E66" s="45">
        <v>1</v>
      </c>
      <c r="F66" s="43"/>
      <c r="G66" s="44">
        <v>1</v>
      </c>
      <c r="H66" s="44"/>
      <c r="I66" s="45">
        <v>5</v>
      </c>
      <c r="J66" s="43"/>
      <c r="K66" s="44">
        <v>2</v>
      </c>
      <c r="L66" s="44"/>
      <c r="M66" s="45">
        <v>4</v>
      </c>
      <c r="N66" s="43"/>
      <c r="O66" s="44">
        <v>1</v>
      </c>
      <c r="P66" s="44"/>
      <c r="Q66" s="45">
        <v>0</v>
      </c>
      <c r="R66" s="43"/>
      <c r="S66" s="44"/>
      <c r="T66" s="44"/>
      <c r="U66" s="45"/>
      <c r="V66" s="43"/>
      <c r="W66" s="44">
        <f>IF(U67="","",U67)</f>
        <v>6</v>
      </c>
      <c r="X66" s="44"/>
      <c r="Y66" s="45">
        <f>IF(S67="","",S67)</f>
        <v>1</v>
      </c>
      <c r="Z66" s="43"/>
      <c r="AA66" s="44">
        <f>IF(U68="","",U68)</f>
        <v>8</v>
      </c>
      <c r="AB66" s="44"/>
      <c r="AC66" s="45">
        <f>IF(S68="","",S68)</f>
        <v>0</v>
      </c>
      <c r="AD66" s="43"/>
      <c r="AE66" s="44">
        <f>IF(U69="","",U69)</f>
      </c>
      <c r="AF66" s="44"/>
      <c r="AG66" s="45">
        <f>IF(S69="","",S69)</f>
      </c>
      <c r="AH66" s="37">
        <f t="shared" si="127"/>
        <v>4</v>
      </c>
      <c r="AI66" s="37">
        <f t="shared" si="128"/>
        <v>2</v>
      </c>
      <c r="AJ66" s="37">
        <f t="shared" si="129"/>
        <v>0</v>
      </c>
      <c r="AK66" s="38">
        <f t="shared" si="130"/>
        <v>8</v>
      </c>
      <c r="AL66" s="39">
        <f t="shared" si="131"/>
        <v>0</v>
      </c>
      <c r="AM66" s="40">
        <f t="shared" si="132"/>
        <v>0</v>
      </c>
      <c r="AN66" s="41">
        <f t="shared" si="133"/>
        <v>8</v>
      </c>
      <c r="AO66" s="37">
        <f t="shared" si="134"/>
        <v>20</v>
      </c>
      <c r="AP66" s="37">
        <f t="shared" si="135"/>
        <v>11</v>
      </c>
      <c r="AQ66" s="32">
        <f t="shared" si="125"/>
        <v>9</v>
      </c>
      <c r="AR66" s="1"/>
      <c r="AS66" s="1"/>
      <c r="AT66" s="49">
        <f>AY66+COUNTIF(AY$61:AY65,AY66)</f>
        <v>2</v>
      </c>
      <c r="AU66" s="51" t="str">
        <f t="shared" si="136"/>
        <v>松葉ニューセラミックス</v>
      </c>
      <c r="AV66" s="49">
        <f t="shared" si="126"/>
        <v>8</v>
      </c>
      <c r="AW66" s="49">
        <f t="shared" si="137"/>
        <v>4</v>
      </c>
      <c r="AX66" s="49">
        <f t="shared" si="138"/>
        <v>6</v>
      </c>
      <c r="AY66" s="49">
        <f t="shared" si="139"/>
        <v>2</v>
      </c>
      <c r="AZ66" s="50">
        <f t="shared" si="140"/>
        <v>5</v>
      </c>
      <c r="BA66" s="52" t="str">
        <f t="shared" si="141"/>
        <v>串崎スワローズ</v>
      </c>
      <c r="BB66" s="52">
        <f t="shared" si="142"/>
        <v>5</v>
      </c>
      <c r="BC66" s="52">
        <f t="shared" si="143"/>
        <v>1</v>
      </c>
      <c r="BD66" s="52">
        <f t="shared" si="144"/>
        <v>6</v>
      </c>
      <c r="BE66" s="62"/>
      <c r="BG66" s="49">
        <f>BJ66+COUNTIF(BJ$61:BJ65,BJ66)</f>
        <v>5</v>
      </c>
      <c r="BH66" s="51" t="str">
        <f t="shared" si="145"/>
        <v>松葉ニューセラミックス</v>
      </c>
      <c r="BI66" s="49">
        <f t="shared" si="146"/>
        <v>6</v>
      </c>
      <c r="BJ66" s="49">
        <f t="shared" si="147"/>
        <v>1</v>
      </c>
      <c r="BK66" s="50">
        <f t="shared" si="148"/>
        <v>1</v>
      </c>
      <c r="BL66" s="52" t="str">
        <f t="shared" si="149"/>
        <v>松葉ニューセラミックス</v>
      </c>
    </row>
    <row r="67" spans="1:64" ht="19.5" customHeight="1">
      <c r="A67" s="107" t="s">
        <v>122</v>
      </c>
      <c r="B67" s="43"/>
      <c r="C67" s="44">
        <v>4</v>
      </c>
      <c r="D67" s="44"/>
      <c r="E67" s="45">
        <v>6</v>
      </c>
      <c r="F67" s="43"/>
      <c r="G67" s="44">
        <v>6</v>
      </c>
      <c r="H67" s="44"/>
      <c r="I67" s="45">
        <v>10</v>
      </c>
      <c r="J67" s="43"/>
      <c r="K67" s="44">
        <v>3</v>
      </c>
      <c r="L67" s="44"/>
      <c r="M67" s="45">
        <v>5</v>
      </c>
      <c r="N67" s="43"/>
      <c r="O67" s="44">
        <v>2</v>
      </c>
      <c r="P67" s="44"/>
      <c r="Q67" s="45">
        <v>9</v>
      </c>
      <c r="R67" s="43"/>
      <c r="S67" s="44">
        <v>1</v>
      </c>
      <c r="T67" s="44"/>
      <c r="U67" s="45">
        <v>6</v>
      </c>
      <c r="V67" s="43"/>
      <c r="W67" s="44"/>
      <c r="X67" s="44"/>
      <c r="Y67" s="45"/>
      <c r="Z67" s="43"/>
      <c r="AA67" s="44">
        <f>IF(Y68="","",Y68)</f>
        <v>12</v>
      </c>
      <c r="AB67" s="44"/>
      <c r="AC67" s="45">
        <f>IF(W68="","",W68)</f>
        <v>3</v>
      </c>
      <c r="AD67" s="43"/>
      <c r="AE67" s="44">
        <f>IF(Y69="","",Y69)</f>
      </c>
      <c r="AF67" s="44"/>
      <c r="AG67" s="45">
        <f>IF(W69="","",W69)</f>
      </c>
      <c r="AH67" s="37">
        <f t="shared" si="127"/>
        <v>1</v>
      </c>
      <c r="AI67" s="37">
        <f t="shared" si="128"/>
        <v>5</v>
      </c>
      <c r="AJ67" s="37">
        <f t="shared" si="129"/>
        <v>0</v>
      </c>
      <c r="AK67" s="38">
        <f t="shared" si="130"/>
        <v>2</v>
      </c>
      <c r="AL67" s="39">
        <f t="shared" si="131"/>
        <v>0</v>
      </c>
      <c r="AM67" s="40">
        <f t="shared" si="132"/>
        <v>0</v>
      </c>
      <c r="AN67" s="41">
        <f t="shared" si="133"/>
        <v>2</v>
      </c>
      <c r="AO67" s="37">
        <f t="shared" si="134"/>
        <v>28</v>
      </c>
      <c r="AP67" s="37">
        <f t="shared" si="135"/>
        <v>39</v>
      </c>
      <c r="AQ67" s="37">
        <f t="shared" si="125"/>
        <v>-11</v>
      </c>
      <c r="AR67" s="1"/>
      <c r="AS67" s="1"/>
      <c r="AT67" s="49">
        <f>AY67+COUNTIF(AY$61:AY66,AY67)</f>
        <v>6</v>
      </c>
      <c r="AU67" s="51" t="str">
        <f t="shared" si="136"/>
        <v>柏ボーイング</v>
      </c>
      <c r="AV67" s="49">
        <f t="shared" si="126"/>
        <v>2</v>
      </c>
      <c r="AW67" s="49">
        <f t="shared" si="137"/>
        <v>1</v>
      </c>
      <c r="AX67" s="49">
        <f t="shared" si="138"/>
        <v>6</v>
      </c>
      <c r="AY67" s="49">
        <f t="shared" si="139"/>
        <v>6</v>
      </c>
      <c r="AZ67" s="50">
        <f t="shared" si="140"/>
        <v>6</v>
      </c>
      <c r="BA67" s="52" t="str">
        <f t="shared" si="141"/>
        <v>柏ボーイング</v>
      </c>
      <c r="BB67" s="52">
        <f t="shared" si="142"/>
        <v>2</v>
      </c>
      <c r="BC67" s="52">
        <f t="shared" si="143"/>
        <v>1</v>
      </c>
      <c r="BD67" s="52">
        <f t="shared" si="144"/>
        <v>6</v>
      </c>
      <c r="BE67" s="62"/>
      <c r="BG67" s="49">
        <f>BJ67+COUNTIF(BJ$61:BJ66,BJ67)</f>
        <v>6</v>
      </c>
      <c r="BH67" s="51" t="str">
        <f t="shared" si="145"/>
        <v>柏ボーイング</v>
      </c>
      <c r="BI67" s="49">
        <f t="shared" si="146"/>
        <v>6</v>
      </c>
      <c r="BJ67" s="49">
        <f t="shared" si="147"/>
        <v>1</v>
      </c>
      <c r="BK67" s="50">
        <f t="shared" si="148"/>
        <v>1</v>
      </c>
      <c r="BL67" s="52" t="str">
        <f t="shared" si="149"/>
        <v>柏ボーイング</v>
      </c>
    </row>
    <row r="68" spans="1:64" ht="19.5" customHeight="1">
      <c r="A68" s="107" t="s">
        <v>123</v>
      </c>
      <c r="B68" s="43"/>
      <c r="C68" s="44">
        <v>3</v>
      </c>
      <c r="D68" s="44"/>
      <c r="E68" s="45">
        <v>3</v>
      </c>
      <c r="F68" s="43"/>
      <c r="G68" s="44">
        <v>0</v>
      </c>
      <c r="H68" s="44"/>
      <c r="I68" s="45">
        <v>20</v>
      </c>
      <c r="J68" s="43"/>
      <c r="K68" s="44">
        <v>0</v>
      </c>
      <c r="L68" s="44"/>
      <c r="M68" s="45">
        <v>6</v>
      </c>
      <c r="N68" s="43"/>
      <c r="O68" s="44">
        <v>1</v>
      </c>
      <c r="P68" s="44"/>
      <c r="Q68" s="45">
        <v>9</v>
      </c>
      <c r="R68" s="43"/>
      <c r="S68" s="44">
        <v>0</v>
      </c>
      <c r="T68" s="44"/>
      <c r="U68" s="45">
        <v>8</v>
      </c>
      <c r="V68" s="43"/>
      <c r="W68" s="44">
        <v>3</v>
      </c>
      <c r="X68" s="44"/>
      <c r="Y68" s="45">
        <v>12</v>
      </c>
      <c r="Z68" s="43"/>
      <c r="AA68" s="44"/>
      <c r="AB68" s="44"/>
      <c r="AC68" s="45"/>
      <c r="AD68" s="43"/>
      <c r="AE68" s="44">
        <f>IF(AC69="","",AC69)</f>
      </c>
      <c r="AF68" s="44"/>
      <c r="AG68" s="45">
        <f>IF(AA69="","",AA69)</f>
      </c>
      <c r="AH68" s="37">
        <f t="shared" si="127"/>
        <v>0</v>
      </c>
      <c r="AI68" s="37">
        <f t="shared" si="128"/>
        <v>5</v>
      </c>
      <c r="AJ68" s="37">
        <f t="shared" si="129"/>
        <v>1</v>
      </c>
      <c r="AK68" s="38">
        <f t="shared" si="130"/>
        <v>0</v>
      </c>
      <c r="AL68" s="39">
        <f t="shared" si="131"/>
        <v>0</v>
      </c>
      <c r="AM68" s="40">
        <f t="shared" si="132"/>
        <v>1</v>
      </c>
      <c r="AN68" s="41">
        <f t="shared" si="133"/>
        <v>1</v>
      </c>
      <c r="AO68" s="37">
        <f t="shared" si="134"/>
        <v>7</v>
      </c>
      <c r="AP68" s="37">
        <f t="shared" si="135"/>
        <v>58</v>
      </c>
      <c r="AQ68" s="37">
        <f t="shared" si="125"/>
        <v>-51</v>
      </c>
      <c r="AR68" s="1"/>
      <c r="AS68" s="1"/>
      <c r="AT68" s="49">
        <f>AY68+COUNTIF(AY$61:AY67,AY68)</f>
        <v>7</v>
      </c>
      <c r="AU68" s="51" t="str">
        <f t="shared" si="136"/>
        <v>新木ファイターズ</v>
      </c>
      <c r="AV68" s="49">
        <f t="shared" si="126"/>
        <v>1</v>
      </c>
      <c r="AW68" s="49">
        <f t="shared" si="137"/>
        <v>0</v>
      </c>
      <c r="AX68" s="49">
        <f t="shared" si="138"/>
        <v>6</v>
      </c>
      <c r="AY68" s="49">
        <f t="shared" si="139"/>
        <v>7</v>
      </c>
      <c r="AZ68" s="50">
        <f t="shared" si="140"/>
        <v>7</v>
      </c>
      <c r="BA68" s="52" t="str">
        <f t="shared" si="141"/>
        <v>新木ファイターズ</v>
      </c>
      <c r="BB68" s="52">
        <f t="shared" si="142"/>
        <v>1</v>
      </c>
      <c r="BC68" s="52">
        <f t="shared" si="143"/>
        <v>0</v>
      </c>
      <c r="BD68" s="52">
        <f t="shared" si="144"/>
        <v>6</v>
      </c>
      <c r="BE68" s="62"/>
      <c r="BG68" s="49">
        <f>BJ68+COUNTIF(BJ$61:BJ67,BJ68)</f>
        <v>7</v>
      </c>
      <c r="BH68" s="51" t="str">
        <f t="shared" si="145"/>
        <v>新木ファイターズ</v>
      </c>
      <c r="BI68" s="49">
        <f t="shared" si="146"/>
        <v>6</v>
      </c>
      <c r="BJ68" s="49">
        <f t="shared" si="147"/>
        <v>1</v>
      </c>
      <c r="BK68" s="50">
        <f t="shared" si="148"/>
        <v>1</v>
      </c>
      <c r="BL68" s="52" t="str">
        <f t="shared" si="149"/>
        <v>新木ファイターズ</v>
      </c>
    </row>
    <row r="69" spans="1:64" ht="19.5" customHeight="1">
      <c r="A69" s="106"/>
      <c r="B69" s="43"/>
      <c r="C69" s="44"/>
      <c r="D69" s="44"/>
      <c r="E69" s="45"/>
      <c r="F69" s="43"/>
      <c r="G69" s="44"/>
      <c r="H69" s="44"/>
      <c r="I69" s="45"/>
      <c r="J69" s="43"/>
      <c r="K69" s="44"/>
      <c r="L69" s="44"/>
      <c r="M69" s="45"/>
      <c r="N69" s="43"/>
      <c r="O69" s="44"/>
      <c r="P69" s="44"/>
      <c r="Q69" s="45"/>
      <c r="R69" s="43"/>
      <c r="S69" s="44"/>
      <c r="T69" s="44"/>
      <c r="U69" s="45"/>
      <c r="V69" s="43"/>
      <c r="W69" s="44"/>
      <c r="X69" s="44"/>
      <c r="Y69" s="45"/>
      <c r="Z69" s="43"/>
      <c r="AA69" s="44"/>
      <c r="AB69" s="44"/>
      <c r="AC69" s="45"/>
      <c r="AD69" s="43"/>
      <c r="AE69" s="44"/>
      <c r="AF69" s="44"/>
      <c r="AG69" s="45"/>
      <c r="AH69" s="37"/>
      <c r="AI69" s="37"/>
      <c r="AJ69" s="37"/>
      <c r="AK69" s="38"/>
      <c r="AL69" s="39"/>
      <c r="AM69" s="40"/>
      <c r="AN69" s="41"/>
      <c r="AO69" s="37"/>
      <c r="AP69" s="37"/>
      <c r="AQ69" s="37"/>
      <c r="AR69" s="1"/>
      <c r="AS69" s="1"/>
      <c r="AT69" s="49">
        <f>AY69+COUNTIF(AY$61:AY68,AY69)</f>
        <v>0</v>
      </c>
      <c r="AU69" s="51"/>
      <c r="AV69" s="49"/>
      <c r="AW69" s="49"/>
      <c r="AX69" s="49"/>
      <c r="AY69" s="49"/>
      <c r="AZ69" s="50"/>
      <c r="BA69" s="52"/>
      <c r="BB69" s="52"/>
      <c r="BC69" s="52"/>
      <c r="BD69" s="52"/>
      <c r="BE69" s="62"/>
      <c r="BG69" s="49"/>
      <c r="BH69" s="51"/>
      <c r="BI69" s="49"/>
      <c r="BJ69" s="49"/>
      <c r="BK69" s="50"/>
      <c r="BL69" s="52"/>
    </row>
    <row r="70" spans="1:62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7">
        <f>SUM(AH62:AH69)</f>
        <v>18</v>
      </c>
      <c r="AJ70" s="7">
        <f>SUM(AI62:AI69)</f>
        <v>18</v>
      </c>
      <c r="AK70" s="7">
        <f>SUM(AJ62:AJ69)</f>
        <v>6</v>
      </c>
      <c r="AL70" s="7"/>
      <c r="AM70" s="7"/>
      <c r="AN70" s="1"/>
      <c r="AO70" s="7">
        <f>SUM(AO62:AO69)</f>
        <v>159</v>
      </c>
      <c r="AP70" s="7">
        <f>SUM(AP62:AP69)</f>
        <v>159</v>
      </c>
      <c r="AQ70" s="7">
        <f>SUM(AQ62:AQ69)</f>
        <v>0</v>
      </c>
      <c r="BI70" s="60">
        <f>SUM(BI62:BI69)/2</f>
        <v>21</v>
      </c>
      <c r="BJ70" s="3">
        <f>7*6/2</f>
        <v>21</v>
      </c>
    </row>
    <row r="71" spans="1:4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67">
        <f>IF(AI70=AJ70,"","計算間違い")</f>
      </c>
      <c r="AM71" s="1"/>
      <c r="AN71" s="1"/>
      <c r="AO71" s="1"/>
      <c r="AP71" s="67">
        <f>IF(AK70/2=TRUNC(AK70/2,0),"","計算間違い")</f>
      </c>
      <c r="AQ71" s="1"/>
      <c r="AR71" s="1"/>
      <c r="AS71" s="1"/>
      <c r="AT71" s="1"/>
      <c r="AU71" s="1"/>
    </row>
    <row r="72" spans="1:63" ht="19.5" customHeight="1">
      <c r="A72" s="166" t="s">
        <v>5</v>
      </c>
      <c r="B72" s="166"/>
      <c r="C72" s="166"/>
      <c r="D72" s="166"/>
      <c r="E72" s="166"/>
      <c r="F72" s="166"/>
      <c r="G72" s="166"/>
      <c r="H72" s="16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BI72" s="60">
        <f>+BI70+BI59+BI46+BI35+BI24+BI12</f>
        <v>142</v>
      </c>
      <c r="BJ72" s="60">
        <f>+BJ70+BJ59+BJ46+BJ35+BJ24+BJ12</f>
        <v>154</v>
      </c>
      <c r="BK72" s="3">
        <f>+BI72/BJ72</f>
        <v>0.922077922077922</v>
      </c>
    </row>
    <row r="73" spans="1:47" ht="19.5" customHeight="1">
      <c r="A73" s="79"/>
      <c r="B73" s="1"/>
      <c r="C73" s="1"/>
      <c r="D73" s="1"/>
      <c r="E73" s="1"/>
      <c r="F73" s="7"/>
      <c r="G73" s="7"/>
      <c r="H73" s="7"/>
      <c r="I73" s="7"/>
      <c r="J73" s="7"/>
      <c r="K73" s="6"/>
      <c r="L73" s="113"/>
      <c r="M73" s="6"/>
      <c r="N73" s="6"/>
      <c r="O73" s="6"/>
      <c r="P73" s="6"/>
      <c r="Q73" s="1"/>
      <c r="R73" s="1"/>
      <c r="S73" s="1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1:47" ht="19.5" customHeight="1">
      <c r="A74" s="79"/>
      <c r="B74" s="11"/>
      <c r="C74" s="11"/>
      <c r="D74" s="99"/>
      <c r="E74" s="112"/>
      <c r="F74" s="115"/>
      <c r="G74" s="116"/>
      <c r="H74" s="80"/>
      <c r="I74" s="80"/>
      <c r="J74" s="167"/>
      <c r="K74" s="168"/>
      <c r="L74" s="169"/>
      <c r="M74" s="169"/>
      <c r="N74" s="12"/>
      <c r="O74" s="114"/>
      <c r="P74" s="114"/>
      <c r="Q74" s="121"/>
      <c r="R74" s="13"/>
      <c r="S74" s="7"/>
      <c r="T74" s="14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15"/>
      <c r="AI74" s="15"/>
      <c r="AJ74" s="15"/>
      <c r="AK74" s="16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1:47" ht="19.5" customHeight="1">
      <c r="A75" s="79"/>
      <c r="B75" s="18"/>
      <c r="C75" s="97"/>
      <c r="D75" s="19"/>
      <c r="E75" s="20"/>
      <c r="F75" s="118"/>
      <c r="G75" s="119"/>
      <c r="H75" s="111"/>
      <c r="I75" s="17"/>
      <c r="J75" s="17"/>
      <c r="K75" s="17"/>
      <c r="L75" s="17"/>
      <c r="M75" s="122"/>
      <c r="N75" s="123"/>
      <c r="O75" s="77"/>
      <c r="P75" s="77"/>
      <c r="Q75" s="73"/>
      <c r="R75" s="125"/>
      <c r="S75" s="109"/>
      <c r="T75" s="14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15"/>
      <c r="AI75" s="22"/>
      <c r="AJ75" s="22"/>
      <c r="AK75" s="16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1:47" ht="19.5" customHeight="1">
      <c r="A76" s="79"/>
      <c r="B76" s="18"/>
      <c r="C76" s="98"/>
      <c r="D76" s="96"/>
      <c r="E76" s="95"/>
      <c r="F76" s="120"/>
      <c r="G76" s="117"/>
      <c r="H76" s="73"/>
      <c r="I76" s="100"/>
      <c r="J76" s="73"/>
      <c r="K76" s="17"/>
      <c r="L76" s="95"/>
      <c r="M76" s="124"/>
      <c r="N76" s="78"/>
      <c r="O76" s="75"/>
      <c r="P76" s="76"/>
      <c r="Q76" s="73"/>
      <c r="R76" s="126"/>
      <c r="S76" s="6"/>
      <c r="T76" s="14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15"/>
      <c r="AI76" s="22"/>
      <c r="AJ76" s="22"/>
      <c r="AK76" s="16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1:47" ht="19.5" customHeight="1">
      <c r="A77" s="1"/>
      <c r="B77" s="1"/>
      <c r="C77" s="160" t="s">
        <v>78</v>
      </c>
      <c r="D77" s="161"/>
      <c r="E77" s="160" t="str">
        <f>+A18</f>
        <v>常盤平ボーイズ</v>
      </c>
      <c r="F77" s="161"/>
      <c r="G77" s="31"/>
      <c r="H77" s="31"/>
      <c r="I77" s="160" t="str">
        <f>+A33</f>
        <v>若草</v>
      </c>
      <c r="J77" s="161"/>
      <c r="K77" s="31"/>
      <c r="L77" s="160" t="str">
        <f>+A39</f>
        <v>小金原ビクトリー</v>
      </c>
      <c r="M77" s="161"/>
      <c r="N77" s="72"/>
      <c r="O77" s="31"/>
      <c r="P77" s="160" t="str">
        <f>+A54</f>
        <v>藤心ジャガース</v>
      </c>
      <c r="Q77" s="161"/>
      <c r="R77" s="160" t="str">
        <f>+A63</f>
        <v>大橋みどりファイターズ</v>
      </c>
      <c r="S77" s="16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1:47" ht="19.5" customHeight="1">
      <c r="A78" s="1"/>
      <c r="B78" s="1"/>
      <c r="C78" s="162"/>
      <c r="D78" s="163"/>
      <c r="E78" s="162"/>
      <c r="F78" s="163"/>
      <c r="G78" s="31"/>
      <c r="H78" s="31"/>
      <c r="I78" s="162"/>
      <c r="J78" s="163"/>
      <c r="K78" s="31"/>
      <c r="L78" s="162"/>
      <c r="M78" s="163"/>
      <c r="N78" s="31"/>
      <c r="O78" s="31"/>
      <c r="P78" s="162"/>
      <c r="Q78" s="163"/>
      <c r="R78" s="162"/>
      <c r="S78" s="163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1:47" ht="19.5" customHeight="1">
      <c r="A79" s="1"/>
      <c r="B79" s="1"/>
      <c r="C79" s="162"/>
      <c r="D79" s="163"/>
      <c r="E79" s="162"/>
      <c r="F79" s="163"/>
      <c r="G79" s="31"/>
      <c r="H79" s="31"/>
      <c r="I79" s="162"/>
      <c r="J79" s="163"/>
      <c r="K79" s="31"/>
      <c r="L79" s="162"/>
      <c r="M79" s="163"/>
      <c r="N79" s="31"/>
      <c r="O79" s="31"/>
      <c r="P79" s="162"/>
      <c r="Q79" s="163"/>
      <c r="R79" s="162"/>
      <c r="S79" s="163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ht="60" customHeight="1">
      <c r="A80" s="1"/>
      <c r="B80" s="1"/>
      <c r="C80" s="164"/>
      <c r="D80" s="165"/>
      <c r="E80" s="164"/>
      <c r="F80" s="165"/>
      <c r="G80" s="31"/>
      <c r="H80" s="31"/>
      <c r="I80" s="164"/>
      <c r="J80" s="165"/>
      <c r="K80" s="31"/>
      <c r="L80" s="164"/>
      <c r="M80" s="165"/>
      <c r="N80" s="31"/>
      <c r="O80" s="31"/>
      <c r="P80" s="164"/>
      <c r="Q80" s="165"/>
      <c r="R80" s="164"/>
      <c r="S80" s="165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37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9.5" customHeight="1">
      <c r="A82" s="1"/>
      <c r="B82" s="1"/>
      <c r="C82" s="87">
        <f>+'戦績'!C42</f>
        <v>41185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ht="19.5" customHeight="1">
      <c r="C83" s="87">
        <f>+'戦績'!C43</f>
        <v>41268</v>
      </c>
    </row>
  </sheetData>
  <sheetProtection/>
  <mergeCells count="92">
    <mergeCell ref="V61:Y61"/>
    <mergeCell ref="R77:S80"/>
    <mergeCell ref="R61:U61"/>
    <mergeCell ref="Y60:AD60"/>
    <mergeCell ref="AD61:AG61"/>
    <mergeCell ref="Z61:AC61"/>
    <mergeCell ref="O60:S60"/>
    <mergeCell ref="U60:X60"/>
    <mergeCell ref="F37:I37"/>
    <mergeCell ref="J37:M37"/>
    <mergeCell ref="K49:N49"/>
    <mergeCell ref="P77:Q80"/>
    <mergeCell ref="J61:M61"/>
    <mergeCell ref="L77:M80"/>
    <mergeCell ref="N61:Q61"/>
    <mergeCell ref="K60:N60"/>
    <mergeCell ref="J50:M50"/>
    <mergeCell ref="G60:J60"/>
    <mergeCell ref="Z37:AC37"/>
    <mergeCell ref="O49:S49"/>
    <mergeCell ref="Z50:AC50"/>
    <mergeCell ref="U49:X49"/>
    <mergeCell ref="N37:Q37"/>
    <mergeCell ref="N50:Q50"/>
    <mergeCell ref="R50:U50"/>
    <mergeCell ref="C77:D80"/>
    <mergeCell ref="E77:F80"/>
    <mergeCell ref="I77:J80"/>
    <mergeCell ref="B61:E61"/>
    <mergeCell ref="F61:I61"/>
    <mergeCell ref="A72:H72"/>
    <mergeCell ref="J74:M74"/>
    <mergeCell ref="G2:J2"/>
    <mergeCell ref="B26:E26"/>
    <mergeCell ref="F26:I26"/>
    <mergeCell ref="J26:M26"/>
    <mergeCell ref="K25:N25"/>
    <mergeCell ref="G14:J14"/>
    <mergeCell ref="B3:E3"/>
    <mergeCell ref="F3:I3"/>
    <mergeCell ref="G25:J25"/>
    <mergeCell ref="B15:E15"/>
    <mergeCell ref="AD3:AG3"/>
    <mergeCell ref="Z15:AC15"/>
    <mergeCell ref="AD15:AG15"/>
    <mergeCell ref="B50:E50"/>
    <mergeCell ref="F50:I50"/>
    <mergeCell ref="G49:J49"/>
    <mergeCell ref="R37:U37"/>
    <mergeCell ref="V50:Y50"/>
    <mergeCell ref="V37:Y37"/>
    <mergeCell ref="R26:U26"/>
    <mergeCell ref="U2:X2"/>
    <mergeCell ref="B37:E37"/>
    <mergeCell ref="G36:J36"/>
    <mergeCell ref="K36:N36"/>
    <mergeCell ref="N26:Q26"/>
    <mergeCell ref="J3:M3"/>
    <mergeCell ref="K2:N2"/>
    <mergeCell ref="N15:Q15"/>
    <mergeCell ref="J15:M15"/>
    <mergeCell ref="O25:S25"/>
    <mergeCell ref="Z3:AC3"/>
    <mergeCell ref="F15:I15"/>
    <mergeCell ref="AJ36:AK36"/>
    <mergeCell ref="Y14:AD14"/>
    <mergeCell ref="N3:Q3"/>
    <mergeCell ref="K14:N14"/>
    <mergeCell ref="O14:S14"/>
    <mergeCell ref="R15:U15"/>
    <mergeCell ref="U36:X36"/>
    <mergeCell ref="O36:S36"/>
    <mergeCell ref="AJ60:AK60"/>
    <mergeCell ref="AJ49:AK49"/>
    <mergeCell ref="Y25:AD25"/>
    <mergeCell ref="AD26:AG26"/>
    <mergeCell ref="Z26:AC26"/>
    <mergeCell ref="Y49:AD49"/>
    <mergeCell ref="AD37:AG37"/>
    <mergeCell ref="V26:Y26"/>
    <mergeCell ref="Y36:AD36"/>
    <mergeCell ref="AD50:AG50"/>
    <mergeCell ref="AJ2:AK2"/>
    <mergeCell ref="AJ14:AK14"/>
    <mergeCell ref="AJ25:AK25"/>
    <mergeCell ref="V3:Y3"/>
    <mergeCell ref="U14:X14"/>
    <mergeCell ref="V15:Y15"/>
    <mergeCell ref="U25:X25"/>
    <mergeCell ref="R3:U3"/>
    <mergeCell ref="O2:S2"/>
    <mergeCell ref="Y2:AD2"/>
  </mergeCells>
  <conditionalFormatting sqref="K40 K53 W56 G52 AA57 C51 S8 C62 K64 G63 AA68 O65 G17:G18 O30:O31 W21 AA22 O19 AE23 C16 S20 K29 W32 G28 AA33 AE34 C27 O41:O42 W43 G39 AA44 AE45 C38 O54:O55 G5:G6 AA10 O7 AE11 C4 S66 AE58 AE69 W9">
    <cfRule type="cellIs" priority="12" dxfId="124" operator="greaterThanOrEqual" stopIfTrue="1">
      <formula>E4</formula>
    </cfRule>
    <cfRule type="cellIs" priority="13" dxfId="125" operator="lessThanOrEqual" stopIfTrue="1">
      <formula>E4</formula>
    </cfRule>
  </conditionalFormatting>
  <conditionalFormatting sqref="M40 M53 Y56 I52 AC57 E51 U8 E62 M64 I63 AC68 Q65 I17:I18 Q30:Q31 Y21 AC22 Q19 AG23 E16 U20 M29 Y32 I28 AC33 AG34 E27 Q41:Q42 Y43 I39 AC44 AG45 E38 Q54:Q55 I5:I6 AC10 Q7 AG11 E4 U66 AG58 AG69 Y9">
    <cfRule type="cellIs" priority="14" dxfId="124" operator="lessThanOrEqual" stopIfTrue="1">
      <formula>C4</formula>
    </cfRule>
    <cfRule type="cellIs" priority="15" dxfId="125" operator="greaterThanOrEqual" stopIfTrue="1">
      <formula>C4</formula>
    </cfRule>
  </conditionalFormatting>
  <conditionalFormatting sqref="E17:E23 AC27:AC32 Q16:Q18 M16:M23 AG16:AG22 AC16:AC21 Y16:Y20 U16:U19 I16 I19:I23 AC23 Y22:Y23 U21:U23 Q20:Q23 E28:E34 I27 M27:M28 Q27:Q29 Q32:Q34 AC34 Y33:Y34 E39:E45 I38 M38:M39 Q38:Q40 Q43:Q45 AC45 Y44:Y45 E52:E58 I51 M51:M52 Q51:Q53 Q56:Q58 AC58 Y57:Y58 E63:E69 I62 M62:M63 Q62:Q64 U62:U65 AC69 AC62:AC67 Y62:Y69 I64:I69 M65:M69 Q66:Q69 Y51:Y55 U51:U58 I53:I58 M54:M58 AC51:AC56 Y38:Y42 U38:U45 U67:U69 M41:M45 Q8:Q11 AC38:AC43 Y27:Y31 U27:U34 I29:I34 M30:M34 AG27:AG33 E5:E11 Q4:Q6 M4:M11 AG4:AG10 AC4:AC9 I40:I45 U4:U7 I4 I7:I11 AC11 U9:U11 AG38:AG44 AG51:AG57 AG62:AG68 Y4:Y8 Y10:Y11">
    <cfRule type="cellIs" priority="16" dxfId="124" operator="lessThan" stopIfTrue="1">
      <formula>C4</formula>
    </cfRule>
    <cfRule type="cellIs" priority="17" dxfId="125" operator="greaterThan" stopIfTrue="1">
      <formula>C4</formula>
    </cfRule>
    <cfRule type="cellIs" priority="18" dxfId="126" operator="equal" stopIfTrue="1">
      <formula>C4</formula>
    </cfRule>
  </conditionalFormatting>
  <conditionalFormatting sqref="O16:O18 AA27:AA32 K16:K23 C17:C23 AE16:AE22 AA16:AA21 W16:W20 S16:S19 G16 G19:G23 AA23 W22:W23 S21:S23 O20:O23 W27:W31 G27 K27:K28 O27:O29 O32:O34 AA34 W33:W34 W38:W42 G38 K38:K39 O38:O40 O43:O45 AA45 W44:W45 W51:W55 G51 K51:K52 O51:O53 O56:O58 AA58 W57:W58 AA62:AA67 G62 K62:K63 O62:O64 S62:S65 AA69 W62:W69 C63:C69 G64:G69 K65:K69 O66:O69 S51:S58 C52:C58 G53:G58 K54:K58 AA51:AA56 S38:S45 C39:C45 S67:S69 K41:K45 O8:O11 AA38:AA43 S27:S34 C28:C34 G29:G34 K30:K34 AE27:AE33 O4:O6 K4:K11 C5:C11 AE4:AE10 AA4:AA9 G40:G45 S4:S7 G4 G7:G11 AA11 S9:S11 AE38:AE44 AE51:AE57 AE62:AE68 W4:W8 W10:W11">
    <cfRule type="cellIs" priority="19" dxfId="124" operator="greaterThan" stopIfTrue="1">
      <formula>E4</formula>
    </cfRule>
    <cfRule type="cellIs" priority="20" dxfId="125" operator="lessThan" stopIfTrue="1">
      <formula>E4</formula>
    </cfRule>
    <cfRule type="cellIs" priority="21" dxfId="126" operator="equal" stopIfTrue="1">
      <formula>E4</formula>
    </cfRule>
  </conditionalFormatting>
  <conditionalFormatting sqref="O42">
    <cfRule type="cellIs" priority="9" dxfId="124" operator="greaterThan" stopIfTrue="1">
      <formula>Q42</formula>
    </cfRule>
    <cfRule type="cellIs" priority="10" dxfId="125" operator="lessThan" stopIfTrue="1">
      <formula>Q42</formula>
    </cfRule>
    <cfRule type="cellIs" priority="11" dxfId="126" operator="equal" stopIfTrue="1">
      <formula>Q42</formula>
    </cfRule>
  </conditionalFormatting>
  <conditionalFormatting sqref="Q42">
    <cfRule type="cellIs" priority="7" dxfId="124" operator="greaterThanOrEqual" stopIfTrue="1">
      <formula>S42</formula>
    </cfRule>
    <cfRule type="cellIs" priority="8" dxfId="125" operator="lessThanOrEqual" stopIfTrue="1">
      <formula>S42</formula>
    </cfRule>
  </conditionalFormatting>
  <conditionalFormatting sqref="Q42">
    <cfRule type="cellIs" priority="4" dxfId="124" operator="greaterThan" stopIfTrue="1">
      <formula>S42</formula>
    </cfRule>
    <cfRule type="cellIs" priority="5" dxfId="125" operator="lessThan" stopIfTrue="1">
      <formula>S42</formula>
    </cfRule>
    <cfRule type="cellIs" priority="6" dxfId="126" operator="equal" stopIfTrue="1">
      <formula>S42</formula>
    </cfRule>
  </conditionalFormatting>
  <conditionalFormatting sqref="Q42">
    <cfRule type="cellIs" priority="1" dxfId="124" operator="lessThan" stopIfTrue="1">
      <formula>O42</formula>
    </cfRule>
    <cfRule type="cellIs" priority="2" dxfId="125" operator="greaterThan" stopIfTrue="1">
      <formula>O42</formula>
    </cfRule>
    <cfRule type="cellIs" priority="3" dxfId="126" operator="equal" stopIfTrue="1">
      <formula>O42</formula>
    </cfRule>
  </conditionalFormatting>
  <printOptions horizontalCentered="1"/>
  <pageMargins left="0.3937007874015748" right="0.3937007874015748" top="0.984251968503937" bottom="0.5511811023622047" header="0.5118110236220472" footer="0.5118110236220472"/>
  <pageSetup cellComments="asDisplayed" horizontalDpi="300" verticalDpi="300" orientation="landscape" paperSize="8" r:id="rId4"/>
  <headerFooter alignWithMargins="0">
    <oddHeader>&amp;C２０１２年小金原地区近隣大会Ａ戦組み合わせ表</oddHeader>
  </headerFooter>
  <rowBreaks count="2" manualBreakCount="2">
    <brk id="35" max="42" man="1"/>
    <brk id="48" max="42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216"/>
  <sheetViews>
    <sheetView tabSelected="1" zoomScaleSheetLayoutView="100" workbookViewId="0" topLeftCell="A1">
      <selection activeCell="B68" sqref="B68"/>
    </sheetView>
  </sheetViews>
  <sheetFormatPr defaultColWidth="9.00390625" defaultRowHeight="19.5" customHeight="1"/>
  <cols>
    <col min="1" max="1" width="15.125" style="3" customWidth="1"/>
    <col min="2" max="6" width="2.625" style="3" customWidth="1"/>
    <col min="7" max="7" width="3.125" style="3" customWidth="1"/>
    <col min="8" max="18" width="2.625" style="3" customWidth="1"/>
    <col min="19" max="19" width="3.25390625" style="3" customWidth="1"/>
    <col min="20" max="39" width="2.625" style="3" customWidth="1"/>
    <col min="40" max="40" width="2.625" style="23" customWidth="1"/>
    <col min="41" max="45" width="2.625" style="3" customWidth="1"/>
    <col min="46" max="55" width="3.625" style="3" customWidth="1"/>
    <col min="56" max="56" width="3.00390625" style="3" customWidth="1"/>
    <col min="57" max="57" width="3.375" style="3" customWidth="1"/>
    <col min="58" max="58" width="4.25390625" style="3" customWidth="1"/>
    <col min="59" max="59" width="14.75390625" style="3" customWidth="1"/>
    <col min="60" max="62" width="5.875" style="3" customWidth="1"/>
    <col min="63" max="63" width="5.125" style="3" customWidth="1"/>
    <col min="64" max="64" width="4.625" style="3" customWidth="1"/>
    <col min="65" max="65" width="16.25390625" style="3" customWidth="1"/>
    <col min="66" max="68" width="4.625" style="3" customWidth="1"/>
    <col min="69" max="69" width="3.25390625" style="3" customWidth="1"/>
    <col min="70" max="70" width="3.125" style="3" customWidth="1"/>
    <col min="71" max="71" width="3.625" style="3" customWidth="1"/>
    <col min="72" max="72" width="17.375" style="3" customWidth="1"/>
    <col min="73" max="73" width="6.25390625" style="3" customWidth="1"/>
    <col min="74" max="74" width="3.875" style="3" customWidth="1"/>
    <col min="75" max="75" width="3.75390625" style="3" customWidth="1"/>
    <col min="76" max="76" width="21.00390625" style="3" customWidth="1"/>
    <col min="77" max="16384" width="9.00390625" style="3" customWidth="1"/>
  </cols>
  <sheetData>
    <row r="1" spans="1:57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9.5" customHeight="1">
      <c r="A2" s="1" t="s">
        <v>0</v>
      </c>
      <c r="B2" s="90" t="s">
        <v>71</v>
      </c>
      <c r="C2" s="58"/>
      <c r="D2" s="58"/>
      <c r="E2" s="58"/>
      <c r="F2" s="58"/>
      <c r="G2" s="158" t="str">
        <f>"１日"&amp;ROUND((BV15-BU15)/'戦績'!N42,1)&amp;"試合"</f>
        <v>１日3.3試合</v>
      </c>
      <c r="H2" s="158"/>
      <c r="I2" s="158"/>
      <c r="J2" s="158"/>
      <c r="K2" s="153" t="s">
        <v>53</v>
      </c>
      <c r="L2" s="153"/>
      <c r="M2" s="153"/>
      <c r="N2" s="153"/>
      <c r="O2" s="154" t="str">
        <f>IF(C71&gt;C70,+BM4,"")</f>
        <v>流山ホークス</v>
      </c>
      <c r="P2" s="154"/>
      <c r="Q2" s="154"/>
      <c r="R2" s="154"/>
      <c r="S2" s="154"/>
      <c r="T2" s="59"/>
      <c r="U2" s="153" t="s">
        <v>54</v>
      </c>
      <c r="V2" s="153"/>
      <c r="W2" s="153"/>
      <c r="X2" s="153"/>
      <c r="Y2" s="154" t="str">
        <f>IF(C71&gt;C70,+BM5,"")</f>
        <v>小金原ビクトリー</v>
      </c>
      <c r="Z2" s="154"/>
      <c r="AA2" s="154"/>
      <c r="AB2" s="154"/>
      <c r="AC2" s="154"/>
      <c r="AD2" s="154"/>
      <c r="AE2" s="1"/>
      <c r="AF2" s="1"/>
      <c r="AG2" s="1"/>
      <c r="AH2" s="1"/>
      <c r="AI2" s="1"/>
      <c r="AJ2" s="1"/>
      <c r="AK2" s="1"/>
      <c r="AL2" s="1"/>
      <c r="AM2" s="1"/>
      <c r="AN2" s="61" t="s">
        <v>55</v>
      </c>
      <c r="AO2" s="1"/>
      <c r="AP2" s="1"/>
      <c r="AQ2" s="1"/>
      <c r="AR2" s="177">
        <f>+BU15/(MAX(BF4:BF14)*(MAX(BF4:BF14)-1)/2)</f>
        <v>0.7777777777777778</v>
      </c>
      <c r="AS2" s="177"/>
      <c r="AT2" s="1"/>
      <c r="AU2" s="1"/>
      <c r="AV2" s="1"/>
      <c r="AW2" s="1" t="s">
        <v>56</v>
      </c>
      <c r="AX2" s="1" t="s">
        <v>57</v>
      </c>
      <c r="AY2" s="1" t="s">
        <v>58</v>
      </c>
      <c r="AZ2" s="1"/>
      <c r="BA2" s="1"/>
      <c r="BB2" s="1"/>
      <c r="BC2" s="1"/>
      <c r="BD2" s="1"/>
      <c r="BE2" s="1"/>
    </row>
    <row r="3" spans="1:73" ht="19.5" customHeight="1">
      <c r="A3" s="5"/>
      <c r="B3" s="152" t="str">
        <f>+A4</f>
        <v>双葉</v>
      </c>
      <c r="C3" s="152"/>
      <c r="D3" s="152"/>
      <c r="E3" s="152"/>
      <c r="F3" s="152" t="str">
        <f>+A5</f>
        <v>五香メッツ</v>
      </c>
      <c r="G3" s="152"/>
      <c r="H3" s="152"/>
      <c r="I3" s="152"/>
      <c r="J3" s="152" t="str">
        <f>+A6</f>
        <v>小金原ビクトリー</v>
      </c>
      <c r="K3" s="152"/>
      <c r="L3" s="152"/>
      <c r="M3" s="152"/>
      <c r="N3" s="152" t="str">
        <f>+A7</f>
        <v>野菊野ファイターズ</v>
      </c>
      <c r="O3" s="152"/>
      <c r="P3" s="152"/>
      <c r="Q3" s="152"/>
      <c r="R3" s="152" t="str">
        <f>+A8</f>
        <v>流山ホークス</v>
      </c>
      <c r="S3" s="152"/>
      <c r="T3" s="152"/>
      <c r="U3" s="152"/>
      <c r="V3" s="152" t="str">
        <f>+A9</f>
        <v>吉川ドリームズ</v>
      </c>
      <c r="W3" s="152"/>
      <c r="X3" s="152"/>
      <c r="Y3" s="152"/>
      <c r="Z3" s="152" t="str">
        <f>+A10</f>
        <v>松葉ニューセラミックス</v>
      </c>
      <c r="AA3" s="152"/>
      <c r="AB3" s="152"/>
      <c r="AC3" s="152"/>
      <c r="AD3" s="152" t="str">
        <f>+A11</f>
        <v>新富少年野球部</v>
      </c>
      <c r="AE3" s="152"/>
      <c r="AF3" s="152"/>
      <c r="AG3" s="152"/>
      <c r="AH3" s="152" t="str">
        <f>+A12</f>
        <v>湖北フレンズ</v>
      </c>
      <c r="AI3" s="152"/>
      <c r="AJ3" s="152"/>
      <c r="AK3" s="152"/>
      <c r="AL3" s="152" t="str">
        <f>+A13</f>
        <v>増尾レッドスターズ</v>
      </c>
      <c r="AM3" s="152"/>
      <c r="AN3" s="152"/>
      <c r="AO3" s="152"/>
      <c r="AP3" s="152"/>
      <c r="AQ3" s="152"/>
      <c r="AR3" s="152"/>
      <c r="AS3" s="152"/>
      <c r="AT3" s="32" t="s">
        <v>7</v>
      </c>
      <c r="AU3" s="32" t="s">
        <v>8</v>
      </c>
      <c r="AV3" s="32" t="s">
        <v>9</v>
      </c>
      <c r="AW3" s="33" t="s">
        <v>59</v>
      </c>
      <c r="AX3" s="34" t="s">
        <v>60</v>
      </c>
      <c r="AY3" s="35" t="s">
        <v>61</v>
      </c>
      <c r="AZ3" s="36" t="s">
        <v>62</v>
      </c>
      <c r="BA3" s="32" t="s">
        <v>11</v>
      </c>
      <c r="BB3" s="32" t="s">
        <v>12</v>
      </c>
      <c r="BC3" s="32" t="s">
        <v>13</v>
      </c>
      <c r="BF3" s="48"/>
      <c r="BG3" s="48" t="s">
        <v>63</v>
      </c>
      <c r="BH3" s="48" t="s">
        <v>64</v>
      </c>
      <c r="BI3" s="3" t="s">
        <v>7</v>
      </c>
      <c r="BJ3" s="3" t="s">
        <v>65</v>
      </c>
      <c r="BK3" s="48"/>
      <c r="BL3" s="48"/>
      <c r="BT3" s="3" t="s">
        <v>63</v>
      </c>
      <c r="BU3" s="3" t="s">
        <v>66</v>
      </c>
    </row>
    <row r="4" spans="1:76" ht="19.5" customHeight="1">
      <c r="A4" s="107" t="s">
        <v>104</v>
      </c>
      <c r="B4" s="43"/>
      <c r="C4" s="44"/>
      <c r="D4" s="44"/>
      <c r="E4" s="45"/>
      <c r="F4" s="43"/>
      <c r="G4" s="44">
        <f>IF(E5="","",E5)</f>
        <v>0</v>
      </c>
      <c r="H4" s="44"/>
      <c r="I4" s="45">
        <f>IF(C5="","",C5)</f>
        <v>1</v>
      </c>
      <c r="J4" s="43"/>
      <c r="K4" s="44">
        <f>IF(E6="","",E6)</f>
        <v>0</v>
      </c>
      <c r="L4" s="44"/>
      <c r="M4" s="45">
        <f>IF(C6="","",C6)</f>
        <v>6</v>
      </c>
      <c r="N4" s="43"/>
      <c r="O4" s="44">
        <f>IF(E7="","",E7)</f>
        <v>3</v>
      </c>
      <c r="P4" s="44"/>
      <c r="Q4" s="45">
        <f>IF(C7="","",C7)</f>
        <v>6</v>
      </c>
      <c r="R4" s="43"/>
      <c r="S4" s="44">
        <f>IF(E8="","",E8)</f>
        <v>5</v>
      </c>
      <c r="T4" s="44"/>
      <c r="U4" s="45">
        <f>IF(C8="","",C8)</f>
        <v>6</v>
      </c>
      <c r="V4" s="43"/>
      <c r="W4" s="44">
        <f>IF(E9="","",E9)</f>
      </c>
      <c r="X4" s="44"/>
      <c r="Y4" s="45">
        <f>IF(C9="","",C9)</f>
      </c>
      <c r="Z4" s="43"/>
      <c r="AA4" s="44">
        <f>IF(E10="","",E10)</f>
        <v>5</v>
      </c>
      <c r="AB4" s="44"/>
      <c r="AC4" s="45">
        <f>IF(C10="","",C10)</f>
        <v>12</v>
      </c>
      <c r="AD4" s="43"/>
      <c r="AE4" s="44">
        <f>IF(E11="","",E11)</f>
      </c>
      <c r="AF4" s="44"/>
      <c r="AG4" s="45">
        <f>IF(C11="","",C11)</f>
      </c>
      <c r="AH4" s="43"/>
      <c r="AI4" s="44">
        <f>IF(E12="","",E12)</f>
        <v>9</v>
      </c>
      <c r="AJ4" s="44"/>
      <c r="AK4" s="45">
        <f>IF(C12="","",C12)</f>
        <v>13</v>
      </c>
      <c r="AL4" s="43"/>
      <c r="AM4" s="44">
        <f>IF(E13="","",E13)</f>
        <v>5</v>
      </c>
      <c r="AN4" s="44"/>
      <c r="AO4" s="45">
        <f>IF(C13="","",C13)</f>
        <v>6</v>
      </c>
      <c r="AP4" s="43"/>
      <c r="AQ4" s="44">
        <f>IF(E14="","",E14)</f>
      </c>
      <c r="AR4" s="44"/>
      <c r="AS4" s="45">
        <f>IF(C14="","",C14)</f>
      </c>
      <c r="AT4" s="47">
        <f aca="true" t="shared" si="0" ref="AT4:AT13">IF(C4&gt;E4,1,0)+IF(G4&gt;I4,1,0)+IF(K4&gt;M4,1,0)+IF(O4&gt;Q4,1,0)+IF(S4&gt;U4,1,0)+IF(W4&gt;Y4,1,0)+IF(AA4&gt;AC4,1,0)+IF(AE4&gt;AG4,1,0)+IF(AM4&gt;AO4,1,0)+IF(AQ4&gt;AS4,1,0)+IF(AI4&gt;AK4,1,0)</f>
        <v>0</v>
      </c>
      <c r="AU4" s="37">
        <f aca="true" t="shared" si="1" ref="AU4:AU13">IF(C4&lt;E4,1,0)+IF(G4&lt;I4,1,0)+IF(K4&lt;M4,1,0)+IF(O4&lt;Q4,1,0)+IF(S4&lt;U4,1,0)+IF(W4&lt;Y4,1,0)+IF(AA4&lt;AC4,1,0)+IF(AE4&lt;AG4,1,0)+IF(AM4&lt;AO4,1,0)+IF(AQ4&lt;AS4,1,0)+IF(AI4&lt;AK4,1,0)</f>
        <v>7</v>
      </c>
      <c r="AV4" s="37">
        <f aca="true" t="shared" si="2" ref="AV4:AV13">IF(AND(ISNUMBER(C4),C4=E4),1,0)+IF(AND(ISNUMBER(G4),G4=I4),1,0)+IF(AND(ISNUMBER(K4),K4=M4),1,)+IF(AND(ISNUMBER(O4),O4=Q4),1,0)+IF(AND(ISNUMBER(S4),S4=U4),1,0)+IF(AND(ISNUMBER(W4),W4=Y4),1,0)+IF(AND(ISNUMBER(AA4),AA4=AC4),1,0)+IF(AND(ISNUMBER(AE4),AE4=AG4),1,0)+IF(AND(ISNUMBER(AM4),AM4=AO4),1,0)+IF(AND(ISNUMBER(AQ4),AQ4=AS4),1,0)+IF(AND(ISNUMBER(AI4),AI4=AK4),1,0)</f>
        <v>0</v>
      </c>
      <c r="AW4" s="38">
        <f aca="true" t="shared" si="3" ref="AW4:AW13">AT4*2</f>
        <v>0</v>
      </c>
      <c r="AX4" s="39">
        <f aca="true" t="shared" si="4" ref="AX4:AX13">AU4*0</f>
        <v>0</v>
      </c>
      <c r="AY4" s="40">
        <f aca="true" t="shared" si="5" ref="AY4:AY13">AV4*1</f>
        <v>0</v>
      </c>
      <c r="AZ4" s="41">
        <f aca="true" t="shared" si="6" ref="AZ4:AZ13">AW4+AX4+AY4</f>
        <v>0</v>
      </c>
      <c r="BA4" s="37">
        <f aca="true" t="shared" si="7" ref="BA4:BA13">IF(ISNUMBER(G4),G4,0)+IF(ISNUMBER(K4),K4,0)+IF(ISNUMBER(O4),O4,0)+IF(ISNUMBER(AA4),AA4,0)+IF(ISNUMBER(AE4),AE4,0)+IF(ISNUMBER(AM4),AM4,0)+IF(ISNUMBER(S4),S4,0)+IF(ISNUMBER(W4),W4,0)+IF(ISNUMBER(C4),C4,0)+IF(ISNUMBER(AQ4),AQ4,0)+IF(ISNUMBER(AI4),AI4,0)</f>
        <v>27</v>
      </c>
      <c r="BB4" s="37">
        <f aca="true" t="shared" si="8" ref="BB4:BB13">IF(ISNUMBER(I4),I4,0)+IF(ISNUMBER(M4),M4,0)+IF(ISNUMBER(Q4),Q4,0)+IF(ISNUMBER(AC4),AC4,0)+IF(ISNUMBER(AG4),AG4,0)+IF(ISNUMBER(AO4),AO4,0)+IF(ISNUMBER(U4),U4,0)+IF(ISNUMBER(Y4),Y4,0)+IF(ISNUMBER(E4),E4,0)+IF(ISNUMBER(AS4),AS4,0)+IF(ISNUMBER(AK4),AK4,0)</f>
        <v>50</v>
      </c>
      <c r="BC4" s="37">
        <f aca="true" t="shared" si="9" ref="BC4:BC13">BA4-BB4</f>
        <v>-23</v>
      </c>
      <c r="BF4" s="49">
        <f>BK4+COUNTIF(BK3:BK$3,BK4)</f>
        <v>9</v>
      </c>
      <c r="BG4" s="51" t="str">
        <f aca="true" t="shared" si="10" ref="BG4:BG13">+A4</f>
        <v>双葉</v>
      </c>
      <c r="BH4" s="49">
        <f aca="true" t="shared" si="11" ref="BH4:BH13">+AZ4</f>
        <v>0</v>
      </c>
      <c r="BI4" s="49">
        <f aca="true" t="shared" si="12" ref="BI4:BI13">+AT4</f>
        <v>0</v>
      </c>
      <c r="BJ4" s="49">
        <f aca="true" t="shared" si="13" ref="BJ4:BJ13">+AT4+AU4+AV4</f>
        <v>7</v>
      </c>
      <c r="BK4" s="49">
        <f>RANK(BH4,BH$4:BH$13)</f>
        <v>9</v>
      </c>
      <c r="BL4" s="50">
        <f>VLOOKUP(ROW(BF1),$BF$4:$BK$13,6,FALSE)</f>
        <v>1</v>
      </c>
      <c r="BM4" s="52" t="str">
        <f>VLOOKUP(ROW(BF1),$BF$4:$BK$13,2,FALSE)</f>
        <v>流山ホークス</v>
      </c>
      <c r="BN4" s="52">
        <f>VLOOKUP(ROW(BF1),$BF$4:$BK$13,3,FALSE)</f>
        <v>17</v>
      </c>
      <c r="BO4" s="52">
        <f>VLOOKUP(ROW(BF1),$BF$4:$BK$13,4,FALSE)</f>
        <v>8</v>
      </c>
      <c r="BP4" s="52">
        <f>VLOOKUP(ROW(BF1),$BF$4:$BK$13,5,FALSE)</f>
        <v>9</v>
      </c>
      <c r="BQ4" s="62"/>
      <c r="BS4" s="49">
        <f>BV4+COUNTIF(BV3:BV$3,BV4)</f>
        <v>5</v>
      </c>
      <c r="BT4" s="51" t="str">
        <f>+BG4</f>
        <v>双葉</v>
      </c>
      <c r="BU4" s="49">
        <f>COUNT(B4:AS4)/2</f>
        <v>7</v>
      </c>
      <c r="BV4" s="49">
        <f>RANK(BU4,BU$4:BU$13)</f>
        <v>5</v>
      </c>
      <c r="BW4" s="50">
        <f>VLOOKUP(ROW(BS1),$BS$4:$BV$13,4,FALSE)</f>
        <v>1</v>
      </c>
      <c r="BX4" s="52" t="str">
        <f>VLOOKUP(ROW(BT1),$BS$4:$BV$13,2,FALSE)</f>
        <v>小金原ビクトリー</v>
      </c>
    </row>
    <row r="5" spans="1:76" ht="19.5" customHeight="1">
      <c r="A5" s="107" t="s">
        <v>96</v>
      </c>
      <c r="B5" s="43"/>
      <c r="C5" s="44">
        <v>1</v>
      </c>
      <c r="D5" s="44"/>
      <c r="E5" s="45">
        <v>0</v>
      </c>
      <c r="F5" s="43"/>
      <c r="G5" s="44"/>
      <c r="H5" s="44"/>
      <c r="I5" s="45"/>
      <c r="J5" s="43"/>
      <c r="K5" s="44">
        <f>IF(I6="","",I6)</f>
        <v>4</v>
      </c>
      <c r="L5" s="44"/>
      <c r="M5" s="45">
        <f>IF(G6="","",G6)</f>
        <v>13</v>
      </c>
      <c r="N5" s="43"/>
      <c r="O5" s="44">
        <f>IF(I7="","",I7)</f>
      </c>
      <c r="P5" s="44"/>
      <c r="Q5" s="45">
        <f>IF(G7="","",G7)</f>
      </c>
      <c r="R5" s="43"/>
      <c r="S5" s="44">
        <f>IF(I8="","",I8)</f>
        <v>1</v>
      </c>
      <c r="T5" s="44"/>
      <c r="U5" s="45">
        <f>IF(G8="","",G8)</f>
        <v>5</v>
      </c>
      <c r="V5" s="43"/>
      <c r="W5" s="44">
        <f>IF(I9="","",I9)</f>
        <v>7</v>
      </c>
      <c r="X5" s="44"/>
      <c r="Y5" s="45">
        <f>IF(G9="","",G9)</f>
        <v>3</v>
      </c>
      <c r="Z5" s="43"/>
      <c r="AA5" s="44">
        <f>IF(I10="","",I10)</f>
        <v>3</v>
      </c>
      <c r="AB5" s="44"/>
      <c r="AC5" s="45">
        <f>IF(G10="","",G10)</f>
        <v>8</v>
      </c>
      <c r="AD5" s="43"/>
      <c r="AE5" s="44">
        <f>IF(I11="","",I11)</f>
      </c>
      <c r="AF5" s="44"/>
      <c r="AG5" s="45">
        <f>IF(G11="","",G11)</f>
      </c>
      <c r="AH5" s="43"/>
      <c r="AI5" s="44">
        <f>IF(I12="","",I12)</f>
        <v>4</v>
      </c>
      <c r="AJ5" s="44"/>
      <c r="AK5" s="45">
        <f>IF(G12="","",G12)</f>
        <v>6</v>
      </c>
      <c r="AL5" s="43"/>
      <c r="AM5" s="44">
        <f>IF(I13="","",I13)</f>
        <v>2</v>
      </c>
      <c r="AN5" s="44"/>
      <c r="AO5" s="45">
        <f>IF(G13="","",G13)</f>
        <v>9</v>
      </c>
      <c r="AP5" s="43"/>
      <c r="AQ5" s="44">
        <f>IF(I14="","",I14)</f>
      </c>
      <c r="AR5" s="44"/>
      <c r="AS5" s="45">
        <f>IF(G14="","",G14)</f>
      </c>
      <c r="AT5" s="47">
        <f t="shared" si="0"/>
        <v>2</v>
      </c>
      <c r="AU5" s="37">
        <f t="shared" si="1"/>
        <v>5</v>
      </c>
      <c r="AV5" s="37">
        <f t="shared" si="2"/>
        <v>0</v>
      </c>
      <c r="AW5" s="38">
        <f t="shared" si="3"/>
        <v>4</v>
      </c>
      <c r="AX5" s="39">
        <f t="shared" si="4"/>
        <v>0</v>
      </c>
      <c r="AY5" s="40">
        <f t="shared" si="5"/>
        <v>0</v>
      </c>
      <c r="AZ5" s="41">
        <f t="shared" si="6"/>
        <v>4</v>
      </c>
      <c r="BA5" s="37">
        <f t="shared" si="7"/>
        <v>22</v>
      </c>
      <c r="BB5" s="37">
        <f t="shared" si="8"/>
        <v>44</v>
      </c>
      <c r="BC5" s="37">
        <f t="shared" si="9"/>
        <v>-22</v>
      </c>
      <c r="BF5" s="49">
        <f>BK5+COUNTIF(BK$3:BK4,BK5)</f>
        <v>7</v>
      </c>
      <c r="BG5" s="51" t="str">
        <f t="shared" si="10"/>
        <v>五香メッツ</v>
      </c>
      <c r="BH5" s="49">
        <f t="shared" si="11"/>
        <v>4</v>
      </c>
      <c r="BI5" s="49">
        <f t="shared" si="12"/>
        <v>2</v>
      </c>
      <c r="BJ5" s="49">
        <f t="shared" si="13"/>
        <v>7</v>
      </c>
      <c r="BK5" s="49">
        <f aca="true" t="shared" si="14" ref="BK5:BK13">RANK(BH5,BH$4:BH$14)</f>
        <v>7</v>
      </c>
      <c r="BL5" s="50">
        <f aca="true" t="shared" si="15" ref="BL5:BL13">VLOOKUP(ROW(BF2),$BF$4:$BK$14,6,FALSE)</f>
        <v>2</v>
      </c>
      <c r="BM5" s="52" t="str">
        <f aca="true" t="shared" si="16" ref="BM5:BM13">VLOOKUP(ROW(BF2),$BF$4:$BK$14,2,FALSE)</f>
        <v>小金原ビクトリー</v>
      </c>
      <c r="BN5" s="52">
        <f aca="true" t="shared" si="17" ref="BN5:BN13">VLOOKUP(ROW(BF2),$BF$4:$BK$14,3,FALSE)</f>
        <v>15</v>
      </c>
      <c r="BO5" s="52">
        <f aca="true" t="shared" si="18" ref="BO5:BO13">VLOOKUP(ROW(BF2),$BF$4:$BK$14,4,FALSE)</f>
        <v>7</v>
      </c>
      <c r="BP5" s="52">
        <f aca="true" t="shared" si="19" ref="BP5:BP13">VLOOKUP(ROW(BF2),$BF$4:$BK$14,5,FALSE)</f>
        <v>9</v>
      </c>
      <c r="BQ5" s="62"/>
      <c r="BS5" s="49">
        <f>BV5+COUNTIF(BV$3:BV4,BV5)</f>
        <v>6</v>
      </c>
      <c r="BT5" s="51" t="str">
        <f aca="true" t="shared" si="20" ref="BT5:BT13">+BG5</f>
        <v>五香メッツ</v>
      </c>
      <c r="BU5" s="49">
        <f aca="true" t="shared" si="21" ref="BU5:BU13">COUNT(B5:AS5)/2</f>
        <v>7</v>
      </c>
      <c r="BV5" s="49">
        <f aca="true" t="shared" si="22" ref="BV5:BV13">RANK(BU5,BU$4:BU$13)</f>
        <v>5</v>
      </c>
      <c r="BW5" s="50">
        <f aca="true" t="shared" si="23" ref="BW5:BW13">VLOOKUP(ROW(BS2),$BS$4:$BV$13,4,FALSE)</f>
        <v>1</v>
      </c>
      <c r="BX5" s="52" t="str">
        <f aca="true" t="shared" si="24" ref="BX5:BX13">VLOOKUP(ROW(BT2),$BS$4:$BV$13,2,FALSE)</f>
        <v>流山ホークス</v>
      </c>
    </row>
    <row r="6" spans="1:76" ht="19.5" customHeight="1">
      <c r="A6" s="107" t="s">
        <v>75</v>
      </c>
      <c r="B6" s="43"/>
      <c r="C6" s="44">
        <v>6</v>
      </c>
      <c r="D6" s="44"/>
      <c r="E6" s="45">
        <v>0</v>
      </c>
      <c r="F6" s="43"/>
      <c r="G6" s="44">
        <v>13</v>
      </c>
      <c r="H6" s="44"/>
      <c r="I6" s="45">
        <v>4</v>
      </c>
      <c r="J6" s="43"/>
      <c r="K6" s="44"/>
      <c r="L6" s="44"/>
      <c r="M6" s="45"/>
      <c r="N6" s="43"/>
      <c r="O6" s="44">
        <f>IF(M7="","",M7)</f>
        <v>4</v>
      </c>
      <c r="P6" s="44"/>
      <c r="Q6" s="45">
        <f>IF(K7="","",K7)</f>
        <v>1</v>
      </c>
      <c r="R6" s="43"/>
      <c r="S6" s="44">
        <f>IF(M8="","",M8)</f>
        <v>3</v>
      </c>
      <c r="T6" s="44"/>
      <c r="U6" s="45">
        <f>IF(K8="","",K8)</f>
        <v>3</v>
      </c>
      <c r="V6" s="43"/>
      <c r="W6" s="44">
        <f>IF(M9="","",M9)</f>
        <v>11</v>
      </c>
      <c r="X6" s="44"/>
      <c r="Y6" s="45">
        <f>IF(K9="","",K9)</f>
        <v>0</v>
      </c>
      <c r="Z6" s="43"/>
      <c r="AA6" s="44">
        <f>IF(M10="","",M10)</f>
        <v>8</v>
      </c>
      <c r="AB6" s="44"/>
      <c r="AC6" s="45">
        <f>IF(K10="","",K10)</f>
        <v>2</v>
      </c>
      <c r="AD6" s="43"/>
      <c r="AE6" s="44">
        <f>IF(M11="","",M11)</f>
        <v>3</v>
      </c>
      <c r="AF6" s="44"/>
      <c r="AG6" s="45">
        <f>IF(K11="","",K11)</f>
        <v>2</v>
      </c>
      <c r="AH6" s="43"/>
      <c r="AI6" s="44">
        <f>IF(M12="","",M12)</f>
        <v>5</v>
      </c>
      <c r="AJ6" s="44"/>
      <c r="AK6" s="45">
        <f>IF(K12="","",K12)</f>
        <v>2</v>
      </c>
      <c r="AL6" s="43"/>
      <c r="AM6" s="44">
        <f>IF(M13="","",M13)</f>
        <v>1</v>
      </c>
      <c r="AN6" s="44"/>
      <c r="AO6" s="45">
        <f>IF(K13="","",K13)</f>
        <v>7</v>
      </c>
      <c r="AP6" s="43"/>
      <c r="AQ6" s="44"/>
      <c r="AR6" s="44"/>
      <c r="AS6" s="45"/>
      <c r="AT6" s="47">
        <f t="shared" si="0"/>
        <v>7</v>
      </c>
      <c r="AU6" s="37">
        <f t="shared" si="1"/>
        <v>1</v>
      </c>
      <c r="AV6" s="37">
        <f t="shared" si="2"/>
        <v>1</v>
      </c>
      <c r="AW6" s="38">
        <f t="shared" si="3"/>
        <v>14</v>
      </c>
      <c r="AX6" s="39">
        <f t="shared" si="4"/>
        <v>0</v>
      </c>
      <c r="AY6" s="40">
        <f t="shared" si="5"/>
        <v>1</v>
      </c>
      <c r="AZ6" s="41">
        <f t="shared" si="6"/>
        <v>15</v>
      </c>
      <c r="BA6" s="37">
        <f t="shared" si="7"/>
        <v>54</v>
      </c>
      <c r="BB6" s="37">
        <f t="shared" si="8"/>
        <v>21</v>
      </c>
      <c r="BC6" s="37">
        <f t="shared" si="9"/>
        <v>33</v>
      </c>
      <c r="BF6" s="49">
        <f>BK6+COUNTIF(BK$3:BK5,BK6)</f>
        <v>2</v>
      </c>
      <c r="BG6" s="51" t="str">
        <f t="shared" si="10"/>
        <v>小金原ビクトリー</v>
      </c>
      <c r="BH6" s="49">
        <f t="shared" si="11"/>
        <v>15</v>
      </c>
      <c r="BI6" s="49">
        <f t="shared" si="12"/>
        <v>7</v>
      </c>
      <c r="BJ6" s="49">
        <f t="shared" si="13"/>
        <v>9</v>
      </c>
      <c r="BK6" s="49">
        <f t="shared" si="14"/>
        <v>2</v>
      </c>
      <c r="BL6" s="50">
        <f t="shared" si="15"/>
        <v>3</v>
      </c>
      <c r="BM6" s="52" t="str">
        <f t="shared" si="16"/>
        <v>増尾レッドスターズ</v>
      </c>
      <c r="BN6" s="52">
        <f t="shared" si="17"/>
        <v>13</v>
      </c>
      <c r="BO6" s="52">
        <f t="shared" si="18"/>
        <v>6</v>
      </c>
      <c r="BP6" s="52">
        <f t="shared" si="19"/>
        <v>9</v>
      </c>
      <c r="BQ6" s="62"/>
      <c r="BS6" s="49">
        <f>BV6+COUNTIF(BV$3:BV5,BV6)</f>
        <v>1</v>
      </c>
      <c r="BT6" s="51" t="str">
        <f t="shared" si="20"/>
        <v>小金原ビクトリー</v>
      </c>
      <c r="BU6" s="49">
        <f t="shared" si="21"/>
        <v>9</v>
      </c>
      <c r="BV6" s="49">
        <f t="shared" si="22"/>
        <v>1</v>
      </c>
      <c r="BW6" s="50">
        <f t="shared" si="23"/>
        <v>1</v>
      </c>
      <c r="BX6" s="52" t="str">
        <f t="shared" si="24"/>
        <v>増尾レッドスターズ</v>
      </c>
    </row>
    <row r="7" spans="1:76" ht="19.5" customHeight="1">
      <c r="A7" s="107" t="s">
        <v>80</v>
      </c>
      <c r="B7" s="43"/>
      <c r="C7" s="44">
        <v>6</v>
      </c>
      <c r="D7" s="44"/>
      <c r="E7" s="45">
        <v>3</v>
      </c>
      <c r="F7" s="43"/>
      <c r="G7" s="44"/>
      <c r="H7" s="44"/>
      <c r="I7" s="45"/>
      <c r="J7" s="43"/>
      <c r="K7" s="44">
        <v>1</v>
      </c>
      <c r="L7" s="44"/>
      <c r="M7" s="45">
        <v>4</v>
      </c>
      <c r="N7" s="43"/>
      <c r="O7" s="44"/>
      <c r="P7" s="44"/>
      <c r="Q7" s="45"/>
      <c r="R7" s="43"/>
      <c r="S7" s="44">
        <f>IF(Q8="","",Q8)</f>
        <v>6</v>
      </c>
      <c r="T7" s="44"/>
      <c r="U7" s="45">
        <f>IF(O8="","",O8)</f>
        <v>8</v>
      </c>
      <c r="V7" s="43"/>
      <c r="W7" s="44">
        <f>IF(Q9="","",Q9)</f>
      </c>
      <c r="X7" s="44"/>
      <c r="Y7" s="45">
        <f>IF(O9="","",O9)</f>
      </c>
      <c r="Z7" s="43"/>
      <c r="AA7" s="44">
        <f>IF(Q10="","",Q10)</f>
      </c>
      <c r="AB7" s="44"/>
      <c r="AC7" s="45">
        <f>IF(O10="","",O10)</f>
      </c>
      <c r="AD7" s="43"/>
      <c r="AE7" s="44">
        <f>IF(Q11="","",Q11)</f>
      </c>
      <c r="AF7" s="44"/>
      <c r="AG7" s="45">
        <f>IF(O11="","",O11)</f>
      </c>
      <c r="AH7" s="43"/>
      <c r="AI7" s="44">
        <f>IF(Q12="","",Q12)</f>
        <v>5</v>
      </c>
      <c r="AJ7" s="44"/>
      <c r="AK7" s="45">
        <f>IF(O12="","",O12)</f>
        <v>4</v>
      </c>
      <c r="AL7" s="43"/>
      <c r="AM7" s="44">
        <f>IF(Q13="","",Q13)</f>
        <v>1</v>
      </c>
      <c r="AN7" s="44"/>
      <c r="AO7" s="45">
        <f>IF(O13="","",O13)</f>
        <v>1</v>
      </c>
      <c r="AP7" s="43"/>
      <c r="AQ7" s="44">
        <f>IF(Q14="","",Q14)</f>
      </c>
      <c r="AR7" s="44"/>
      <c r="AS7" s="45">
        <f>IF(O14="","",O14)</f>
      </c>
      <c r="AT7" s="47">
        <f t="shared" si="0"/>
        <v>2</v>
      </c>
      <c r="AU7" s="37">
        <f t="shared" si="1"/>
        <v>2</v>
      </c>
      <c r="AV7" s="37">
        <f t="shared" si="2"/>
        <v>1</v>
      </c>
      <c r="AW7" s="38">
        <f t="shared" si="3"/>
        <v>4</v>
      </c>
      <c r="AX7" s="39">
        <f t="shared" si="4"/>
        <v>0</v>
      </c>
      <c r="AY7" s="40">
        <f t="shared" si="5"/>
        <v>1</v>
      </c>
      <c r="AZ7" s="41">
        <f t="shared" si="6"/>
        <v>5</v>
      </c>
      <c r="BA7" s="37">
        <f t="shared" si="7"/>
        <v>19</v>
      </c>
      <c r="BB7" s="37">
        <f t="shared" si="8"/>
        <v>20</v>
      </c>
      <c r="BC7" s="37">
        <f t="shared" si="9"/>
        <v>-1</v>
      </c>
      <c r="BF7" s="49">
        <f>BK7+COUNTIF(BK$3:BK6,BK7)</f>
        <v>6</v>
      </c>
      <c r="BG7" s="51" t="str">
        <f t="shared" si="10"/>
        <v>野菊野ファイターズ</v>
      </c>
      <c r="BH7" s="49">
        <f t="shared" si="11"/>
        <v>5</v>
      </c>
      <c r="BI7" s="49">
        <f t="shared" si="12"/>
        <v>2</v>
      </c>
      <c r="BJ7" s="49">
        <f t="shared" si="13"/>
        <v>5</v>
      </c>
      <c r="BK7" s="49">
        <f t="shared" si="14"/>
        <v>6</v>
      </c>
      <c r="BL7" s="50">
        <f t="shared" si="15"/>
        <v>4</v>
      </c>
      <c r="BM7" s="52" t="str">
        <f t="shared" si="16"/>
        <v>松葉ニューセラミックス</v>
      </c>
      <c r="BN7" s="52">
        <f t="shared" si="17"/>
        <v>9</v>
      </c>
      <c r="BO7" s="52">
        <f t="shared" si="18"/>
        <v>4</v>
      </c>
      <c r="BP7" s="52">
        <f t="shared" si="19"/>
        <v>7</v>
      </c>
      <c r="BQ7" s="62"/>
      <c r="BS7" s="49">
        <f>BV7+COUNTIF(BV$3:BV6,BV7)</f>
        <v>9</v>
      </c>
      <c r="BT7" s="51" t="str">
        <f t="shared" si="20"/>
        <v>野菊野ファイターズ</v>
      </c>
      <c r="BU7" s="49">
        <f t="shared" si="21"/>
        <v>5</v>
      </c>
      <c r="BV7" s="49">
        <f t="shared" si="22"/>
        <v>9</v>
      </c>
      <c r="BW7" s="50">
        <f t="shared" si="23"/>
        <v>4</v>
      </c>
      <c r="BX7" s="52" t="str">
        <f t="shared" si="24"/>
        <v>湖北フレンズ</v>
      </c>
    </row>
    <row r="8" spans="1:76" ht="19.5" customHeight="1">
      <c r="A8" s="107" t="s">
        <v>124</v>
      </c>
      <c r="B8" s="43"/>
      <c r="C8" s="44">
        <v>6</v>
      </c>
      <c r="D8" s="44"/>
      <c r="E8" s="45">
        <v>5</v>
      </c>
      <c r="F8" s="43"/>
      <c r="G8" s="44">
        <v>5</v>
      </c>
      <c r="H8" s="44"/>
      <c r="I8" s="45">
        <v>1</v>
      </c>
      <c r="J8" s="43"/>
      <c r="K8" s="44">
        <v>3</v>
      </c>
      <c r="L8" s="44"/>
      <c r="M8" s="45">
        <v>3</v>
      </c>
      <c r="N8" s="43"/>
      <c r="O8" s="44">
        <v>8</v>
      </c>
      <c r="P8" s="44"/>
      <c r="Q8" s="45">
        <v>6</v>
      </c>
      <c r="R8" s="43"/>
      <c r="S8" s="44"/>
      <c r="T8" s="44"/>
      <c r="U8" s="45"/>
      <c r="V8" s="43"/>
      <c r="W8" s="44">
        <f>IF(U9="","",U9)</f>
        <v>15</v>
      </c>
      <c r="X8" s="44"/>
      <c r="Y8" s="45">
        <f>IF(S9="","",S9)</f>
        <v>1</v>
      </c>
      <c r="Z8" s="43"/>
      <c r="AA8" s="44">
        <f>IF(U10="","",U10)</f>
        <v>17</v>
      </c>
      <c r="AB8" s="44"/>
      <c r="AC8" s="45">
        <f>IF(S10="","",S10)</f>
        <v>3</v>
      </c>
      <c r="AD8" s="43"/>
      <c r="AE8" s="44">
        <f>IF(U11="","",U11)</f>
        <v>6</v>
      </c>
      <c r="AF8" s="44"/>
      <c r="AG8" s="45">
        <f>IF(S11="","",S11)</f>
        <v>2</v>
      </c>
      <c r="AH8" s="43"/>
      <c r="AI8" s="44">
        <f>IF(U12="","",U12)</f>
        <v>14</v>
      </c>
      <c r="AJ8" s="44"/>
      <c r="AK8" s="45">
        <f>IF(S12="","",S12)</f>
        <v>4</v>
      </c>
      <c r="AL8" s="43"/>
      <c r="AM8" s="44">
        <f>IF(U13="","",U13)</f>
        <v>11</v>
      </c>
      <c r="AN8" s="44"/>
      <c r="AO8" s="45">
        <f>IF(S13="","",S13)</f>
        <v>4</v>
      </c>
      <c r="AP8" s="43"/>
      <c r="AQ8" s="44">
        <f>IF(U14="","",U14)</f>
      </c>
      <c r="AR8" s="44"/>
      <c r="AS8" s="45">
        <f>IF(S14="","",S14)</f>
      </c>
      <c r="AT8" s="47">
        <f t="shared" si="0"/>
        <v>8</v>
      </c>
      <c r="AU8" s="37">
        <f t="shared" si="1"/>
        <v>0</v>
      </c>
      <c r="AV8" s="37">
        <f t="shared" si="2"/>
        <v>1</v>
      </c>
      <c r="AW8" s="38">
        <f t="shared" si="3"/>
        <v>16</v>
      </c>
      <c r="AX8" s="39">
        <f t="shared" si="4"/>
        <v>0</v>
      </c>
      <c r="AY8" s="40">
        <f t="shared" si="5"/>
        <v>1</v>
      </c>
      <c r="AZ8" s="41">
        <f t="shared" si="6"/>
        <v>17</v>
      </c>
      <c r="BA8" s="37">
        <f t="shared" si="7"/>
        <v>85</v>
      </c>
      <c r="BB8" s="37">
        <f t="shared" si="8"/>
        <v>29</v>
      </c>
      <c r="BC8" s="37">
        <f t="shared" si="9"/>
        <v>56</v>
      </c>
      <c r="BF8" s="49">
        <f>BK8+COUNTIF(BK$3:BK7,BK8)</f>
        <v>1</v>
      </c>
      <c r="BG8" s="51" t="str">
        <f t="shared" si="10"/>
        <v>流山ホークス</v>
      </c>
      <c r="BH8" s="49">
        <f t="shared" si="11"/>
        <v>17</v>
      </c>
      <c r="BI8" s="49">
        <f t="shared" si="12"/>
        <v>8</v>
      </c>
      <c r="BJ8" s="49">
        <f t="shared" si="13"/>
        <v>9</v>
      </c>
      <c r="BK8" s="49">
        <f t="shared" si="14"/>
        <v>1</v>
      </c>
      <c r="BL8" s="50">
        <f t="shared" si="15"/>
        <v>5</v>
      </c>
      <c r="BM8" s="52" t="str">
        <f t="shared" si="16"/>
        <v>湖北フレンズ</v>
      </c>
      <c r="BN8" s="52">
        <f t="shared" si="17"/>
        <v>6</v>
      </c>
      <c r="BO8" s="52">
        <f t="shared" si="18"/>
        <v>2</v>
      </c>
      <c r="BP8" s="52">
        <f t="shared" si="19"/>
        <v>8</v>
      </c>
      <c r="BQ8" s="62"/>
      <c r="BS8" s="49">
        <f>BV8+COUNTIF(BV$3:BV7,BV8)</f>
        <v>2</v>
      </c>
      <c r="BT8" s="51" t="str">
        <f t="shared" si="20"/>
        <v>流山ホークス</v>
      </c>
      <c r="BU8" s="49">
        <f t="shared" si="21"/>
        <v>9</v>
      </c>
      <c r="BV8" s="49">
        <f t="shared" si="22"/>
        <v>1</v>
      </c>
      <c r="BW8" s="50">
        <f t="shared" si="23"/>
        <v>5</v>
      </c>
      <c r="BX8" s="52" t="str">
        <f t="shared" si="24"/>
        <v>双葉</v>
      </c>
    </row>
    <row r="9" spans="1:76" ht="19.5" customHeight="1">
      <c r="A9" s="107" t="s">
        <v>125</v>
      </c>
      <c r="B9" s="43"/>
      <c r="C9" s="44"/>
      <c r="D9" s="44"/>
      <c r="E9" s="45"/>
      <c r="F9" s="43"/>
      <c r="G9" s="44">
        <v>3</v>
      </c>
      <c r="H9" s="44"/>
      <c r="I9" s="45">
        <v>7</v>
      </c>
      <c r="J9" s="43"/>
      <c r="K9" s="44">
        <v>0</v>
      </c>
      <c r="L9" s="44"/>
      <c r="M9" s="45">
        <v>11</v>
      </c>
      <c r="N9" s="43"/>
      <c r="O9" s="44"/>
      <c r="P9" s="44"/>
      <c r="Q9" s="45"/>
      <c r="R9" s="43"/>
      <c r="S9" s="44">
        <v>1</v>
      </c>
      <c r="T9" s="44"/>
      <c r="U9" s="45">
        <v>15</v>
      </c>
      <c r="V9" s="43"/>
      <c r="W9" s="44"/>
      <c r="X9" s="44"/>
      <c r="Y9" s="45"/>
      <c r="Z9" s="43"/>
      <c r="AA9" s="44">
        <f>IF(Y10="","",Y10)</f>
        <v>3</v>
      </c>
      <c r="AB9" s="44"/>
      <c r="AC9" s="45">
        <f>IF(W10="","",W10)</f>
        <v>18</v>
      </c>
      <c r="AD9" s="43"/>
      <c r="AE9" s="44">
        <f>IF(Y11="","",Y11)</f>
      </c>
      <c r="AF9" s="44"/>
      <c r="AG9" s="45">
        <f>IF(W11="","",W11)</f>
      </c>
      <c r="AH9" s="43"/>
      <c r="AI9" s="44">
        <f>IF(Y12="","",Y12)</f>
        <v>9</v>
      </c>
      <c r="AJ9" s="44"/>
      <c r="AK9" s="45">
        <f>IF(W12="","",W12)</f>
        <v>9</v>
      </c>
      <c r="AL9" s="43"/>
      <c r="AM9" s="44">
        <f>IF(Y13="","",Y13)</f>
        <v>0</v>
      </c>
      <c r="AN9" s="44"/>
      <c r="AO9" s="45">
        <f>IF(W13="","",W13)</f>
        <v>22</v>
      </c>
      <c r="AP9" s="43"/>
      <c r="AQ9" s="44">
        <f>IF(Y14="","",Y14)</f>
      </c>
      <c r="AR9" s="44"/>
      <c r="AS9" s="45">
        <f>IF(W14="","",W14)</f>
      </c>
      <c r="AT9" s="47">
        <f t="shared" si="0"/>
        <v>0</v>
      </c>
      <c r="AU9" s="37">
        <f t="shared" si="1"/>
        <v>5</v>
      </c>
      <c r="AV9" s="37">
        <f t="shared" si="2"/>
        <v>1</v>
      </c>
      <c r="AW9" s="38">
        <f t="shared" si="3"/>
        <v>0</v>
      </c>
      <c r="AX9" s="39">
        <f t="shared" si="4"/>
        <v>0</v>
      </c>
      <c r="AY9" s="40">
        <f t="shared" si="5"/>
        <v>1</v>
      </c>
      <c r="AZ9" s="41">
        <f t="shared" si="6"/>
        <v>1</v>
      </c>
      <c r="BA9" s="37">
        <f t="shared" si="7"/>
        <v>16</v>
      </c>
      <c r="BB9" s="37">
        <f t="shared" si="8"/>
        <v>82</v>
      </c>
      <c r="BC9" s="37">
        <f t="shared" si="9"/>
        <v>-66</v>
      </c>
      <c r="BF9" s="49">
        <f>BK9+COUNTIF(BK$3:BK8,BK9)</f>
        <v>8</v>
      </c>
      <c r="BG9" s="51" t="str">
        <f t="shared" si="10"/>
        <v>吉川ドリームズ</v>
      </c>
      <c r="BH9" s="49">
        <f t="shared" si="11"/>
        <v>1</v>
      </c>
      <c r="BI9" s="49">
        <f t="shared" si="12"/>
        <v>0</v>
      </c>
      <c r="BJ9" s="49">
        <f t="shared" si="13"/>
        <v>6</v>
      </c>
      <c r="BK9" s="49">
        <f t="shared" si="14"/>
        <v>8</v>
      </c>
      <c r="BL9" s="50">
        <f t="shared" si="15"/>
        <v>6</v>
      </c>
      <c r="BM9" s="52" t="str">
        <f t="shared" si="16"/>
        <v>野菊野ファイターズ</v>
      </c>
      <c r="BN9" s="52">
        <f t="shared" si="17"/>
        <v>5</v>
      </c>
      <c r="BO9" s="52">
        <f t="shared" si="18"/>
        <v>2</v>
      </c>
      <c r="BP9" s="52">
        <f t="shared" si="19"/>
        <v>5</v>
      </c>
      <c r="BQ9" s="62"/>
      <c r="BS9" s="49">
        <f>BV9+COUNTIF(BV$3:BV8,BV9)</f>
        <v>8</v>
      </c>
      <c r="BT9" s="51" t="str">
        <f t="shared" si="20"/>
        <v>吉川ドリームズ</v>
      </c>
      <c r="BU9" s="49">
        <f t="shared" si="21"/>
        <v>6</v>
      </c>
      <c r="BV9" s="49">
        <f t="shared" si="22"/>
        <v>8</v>
      </c>
      <c r="BW9" s="50">
        <f t="shared" si="23"/>
        <v>5</v>
      </c>
      <c r="BX9" s="52" t="str">
        <f t="shared" si="24"/>
        <v>五香メッツ</v>
      </c>
    </row>
    <row r="10" spans="1:76" ht="19.5" customHeight="1">
      <c r="A10" s="107" t="s">
        <v>121</v>
      </c>
      <c r="B10" s="43"/>
      <c r="C10" s="44">
        <v>12</v>
      </c>
      <c r="D10" s="44"/>
      <c r="E10" s="45">
        <v>5</v>
      </c>
      <c r="F10" s="43"/>
      <c r="G10" s="44">
        <v>8</v>
      </c>
      <c r="H10" s="44"/>
      <c r="I10" s="45">
        <v>3</v>
      </c>
      <c r="J10" s="43"/>
      <c r="K10" s="44">
        <v>2</v>
      </c>
      <c r="L10" s="44"/>
      <c r="M10" s="45">
        <v>8</v>
      </c>
      <c r="N10" s="43"/>
      <c r="O10" s="44"/>
      <c r="P10" s="44"/>
      <c r="Q10" s="45"/>
      <c r="R10" s="43"/>
      <c r="S10" s="44">
        <v>3</v>
      </c>
      <c r="T10" s="44"/>
      <c r="U10" s="45">
        <v>17</v>
      </c>
      <c r="V10" s="43"/>
      <c r="W10" s="44">
        <v>18</v>
      </c>
      <c r="X10" s="44"/>
      <c r="Y10" s="45">
        <v>3</v>
      </c>
      <c r="Z10" s="43"/>
      <c r="AA10" s="44"/>
      <c r="AB10" s="44"/>
      <c r="AC10" s="45"/>
      <c r="AD10" s="43"/>
      <c r="AE10" s="44">
        <f>IF(AC11="","",AC11)</f>
      </c>
      <c r="AF10" s="44"/>
      <c r="AG10" s="45">
        <f>IF(AA11="","",AA11)</f>
      </c>
      <c r="AH10" s="43"/>
      <c r="AI10" s="44">
        <f>IF(AC12="","",AC12)</f>
        <v>5</v>
      </c>
      <c r="AJ10" s="44"/>
      <c r="AK10" s="45">
        <f>IF(AA12="","",AA12)</f>
        <v>5</v>
      </c>
      <c r="AL10" s="43"/>
      <c r="AM10" s="44">
        <f>IF(AC13="","",AC13)</f>
        <v>8</v>
      </c>
      <c r="AN10" s="44"/>
      <c r="AO10" s="45">
        <f>IF(AA13="","",AA13)</f>
        <v>1</v>
      </c>
      <c r="AP10" s="43"/>
      <c r="AQ10" s="44">
        <f>IF(AC14="","",AC14)</f>
      </c>
      <c r="AR10" s="44"/>
      <c r="AS10" s="45">
        <f>IF(AA14="","",AA14)</f>
      </c>
      <c r="AT10" s="47">
        <f t="shared" si="0"/>
        <v>4</v>
      </c>
      <c r="AU10" s="37">
        <f t="shared" si="1"/>
        <v>2</v>
      </c>
      <c r="AV10" s="37">
        <f t="shared" si="2"/>
        <v>1</v>
      </c>
      <c r="AW10" s="38">
        <f t="shared" si="3"/>
        <v>8</v>
      </c>
      <c r="AX10" s="39">
        <f t="shared" si="4"/>
        <v>0</v>
      </c>
      <c r="AY10" s="40">
        <f t="shared" si="5"/>
        <v>1</v>
      </c>
      <c r="AZ10" s="41">
        <f t="shared" si="6"/>
        <v>9</v>
      </c>
      <c r="BA10" s="37">
        <f t="shared" si="7"/>
        <v>56</v>
      </c>
      <c r="BB10" s="37">
        <f t="shared" si="8"/>
        <v>42</v>
      </c>
      <c r="BC10" s="37">
        <f t="shared" si="9"/>
        <v>14</v>
      </c>
      <c r="BF10" s="49">
        <f>BK10+COUNTIF(BK$3:BK9,BK10)</f>
        <v>4</v>
      </c>
      <c r="BG10" s="51" t="str">
        <f t="shared" si="10"/>
        <v>松葉ニューセラミックス</v>
      </c>
      <c r="BH10" s="49">
        <f t="shared" si="11"/>
        <v>9</v>
      </c>
      <c r="BI10" s="49">
        <f t="shared" si="12"/>
        <v>4</v>
      </c>
      <c r="BJ10" s="49">
        <f t="shared" si="13"/>
        <v>7</v>
      </c>
      <c r="BK10" s="49">
        <f t="shared" si="14"/>
        <v>4</v>
      </c>
      <c r="BL10" s="50">
        <f t="shared" si="15"/>
        <v>7</v>
      </c>
      <c r="BM10" s="52" t="str">
        <f t="shared" si="16"/>
        <v>五香メッツ</v>
      </c>
      <c r="BN10" s="52">
        <f t="shared" si="17"/>
        <v>4</v>
      </c>
      <c r="BO10" s="52">
        <f t="shared" si="18"/>
        <v>2</v>
      </c>
      <c r="BP10" s="52">
        <f t="shared" si="19"/>
        <v>7</v>
      </c>
      <c r="BQ10" s="62"/>
      <c r="BS10" s="49">
        <f>BV10+COUNTIF(BV$3:BV9,BV10)</f>
        <v>7</v>
      </c>
      <c r="BT10" s="51" t="str">
        <f t="shared" si="20"/>
        <v>松葉ニューセラミックス</v>
      </c>
      <c r="BU10" s="49">
        <f t="shared" si="21"/>
        <v>7</v>
      </c>
      <c r="BV10" s="49">
        <f t="shared" si="22"/>
        <v>5</v>
      </c>
      <c r="BW10" s="50">
        <f t="shared" si="23"/>
        <v>5</v>
      </c>
      <c r="BX10" s="52" t="str">
        <f t="shared" si="24"/>
        <v>松葉ニューセラミックス</v>
      </c>
    </row>
    <row r="11" spans="1:76" ht="19.5" customHeight="1">
      <c r="A11" s="107" t="s">
        <v>107</v>
      </c>
      <c r="B11" s="43"/>
      <c r="C11" s="44"/>
      <c r="D11" s="44"/>
      <c r="E11" s="45"/>
      <c r="F11" s="43"/>
      <c r="G11" s="44"/>
      <c r="H11" s="44"/>
      <c r="I11" s="45"/>
      <c r="J11" s="43"/>
      <c r="K11" s="44">
        <v>2</v>
      </c>
      <c r="L11" s="44"/>
      <c r="M11" s="45">
        <v>3</v>
      </c>
      <c r="N11" s="43"/>
      <c r="O11" s="44"/>
      <c r="P11" s="44"/>
      <c r="Q11" s="45"/>
      <c r="R11" s="43"/>
      <c r="S11" s="44">
        <v>2</v>
      </c>
      <c r="T11" s="44"/>
      <c r="U11" s="45">
        <v>6</v>
      </c>
      <c r="V11" s="43"/>
      <c r="W11" s="44"/>
      <c r="X11" s="44"/>
      <c r="Y11" s="45"/>
      <c r="Z11" s="43"/>
      <c r="AA11" s="44"/>
      <c r="AB11" s="44"/>
      <c r="AC11" s="45"/>
      <c r="AD11" s="43"/>
      <c r="AE11" s="44"/>
      <c r="AF11" s="44"/>
      <c r="AG11" s="45"/>
      <c r="AH11" s="43"/>
      <c r="AI11" s="44">
        <f>IF(AG12="","",AG12)</f>
      </c>
      <c r="AJ11" s="44"/>
      <c r="AK11" s="45">
        <f>IF(AE12="","",AE12)</f>
      </c>
      <c r="AL11" s="43"/>
      <c r="AM11" s="44">
        <f>IF(AG13="","",AG13)</f>
        <v>4</v>
      </c>
      <c r="AN11" s="44"/>
      <c r="AO11" s="45">
        <f>IF(AE13="","",AE13)</f>
        <v>11</v>
      </c>
      <c r="AP11" s="43"/>
      <c r="AQ11" s="44">
        <f>IF(AG14="","",AG14)</f>
      </c>
      <c r="AR11" s="44"/>
      <c r="AS11" s="45">
        <f>IF(AE14="","",AE14)</f>
      </c>
      <c r="AT11" s="47">
        <f t="shared" si="0"/>
        <v>0</v>
      </c>
      <c r="AU11" s="37">
        <f t="shared" si="1"/>
        <v>3</v>
      </c>
      <c r="AV11" s="37">
        <f t="shared" si="2"/>
        <v>0</v>
      </c>
      <c r="AW11" s="38">
        <f t="shared" si="3"/>
        <v>0</v>
      </c>
      <c r="AX11" s="39">
        <f t="shared" si="4"/>
        <v>0</v>
      </c>
      <c r="AY11" s="40">
        <f t="shared" si="5"/>
        <v>0</v>
      </c>
      <c r="AZ11" s="41">
        <f t="shared" si="6"/>
        <v>0</v>
      </c>
      <c r="BA11" s="37">
        <f t="shared" si="7"/>
        <v>8</v>
      </c>
      <c r="BB11" s="37">
        <f t="shared" si="8"/>
        <v>20</v>
      </c>
      <c r="BC11" s="37">
        <f t="shared" si="9"/>
        <v>-12</v>
      </c>
      <c r="BF11" s="49">
        <f>BK11+COUNTIF(BK$3:BK10,BK11)</f>
        <v>10</v>
      </c>
      <c r="BG11" s="51" t="str">
        <f t="shared" si="10"/>
        <v>新富少年野球部</v>
      </c>
      <c r="BH11" s="49">
        <f t="shared" si="11"/>
        <v>0</v>
      </c>
      <c r="BI11" s="49">
        <f t="shared" si="12"/>
        <v>0</v>
      </c>
      <c r="BJ11" s="49">
        <f t="shared" si="13"/>
        <v>3</v>
      </c>
      <c r="BK11" s="49">
        <f t="shared" si="14"/>
        <v>9</v>
      </c>
      <c r="BL11" s="50">
        <f t="shared" si="15"/>
        <v>8</v>
      </c>
      <c r="BM11" s="52" t="str">
        <f t="shared" si="16"/>
        <v>吉川ドリームズ</v>
      </c>
      <c r="BN11" s="52">
        <f t="shared" si="17"/>
        <v>1</v>
      </c>
      <c r="BO11" s="52">
        <f t="shared" si="18"/>
        <v>0</v>
      </c>
      <c r="BP11" s="52">
        <f t="shared" si="19"/>
        <v>6</v>
      </c>
      <c r="BQ11" s="62"/>
      <c r="BS11" s="49">
        <f>BV11+COUNTIF(BV$3:BV10,BV11)</f>
        <v>10</v>
      </c>
      <c r="BT11" s="51" t="str">
        <f t="shared" si="20"/>
        <v>新富少年野球部</v>
      </c>
      <c r="BU11" s="49">
        <f t="shared" si="21"/>
        <v>3</v>
      </c>
      <c r="BV11" s="49">
        <f t="shared" si="22"/>
        <v>10</v>
      </c>
      <c r="BW11" s="50">
        <f t="shared" si="23"/>
        <v>8</v>
      </c>
      <c r="BX11" s="52" t="str">
        <f t="shared" si="24"/>
        <v>吉川ドリームズ</v>
      </c>
    </row>
    <row r="12" spans="1:76" ht="19.5" customHeight="1">
      <c r="A12" s="107" t="s">
        <v>116</v>
      </c>
      <c r="B12" s="43"/>
      <c r="C12" s="44">
        <v>13</v>
      </c>
      <c r="D12" s="44"/>
      <c r="E12" s="45">
        <v>9</v>
      </c>
      <c r="F12" s="43"/>
      <c r="G12" s="44">
        <v>6</v>
      </c>
      <c r="H12" s="44"/>
      <c r="I12" s="45">
        <v>4</v>
      </c>
      <c r="J12" s="43"/>
      <c r="K12" s="44">
        <v>2</v>
      </c>
      <c r="L12" s="44"/>
      <c r="M12" s="45">
        <v>5</v>
      </c>
      <c r="N12" s="43"/>
      <c r="O12" s="44">
        <v>4</v>
      </c>
      <c r="P12" s="44"/>
      <c r="Q12" s="45">
        <v>5</v>
      </c>
      <c r="R12" s="43"/>
      <c r="S12" s="44">
        <v>4</v>
      </c>
      <c r="T12" s="44"/>
      <c r="U12" s="45">
        <v>14</v>
      </c>
      <c r="V12" s="43"/>
      <c r="W12" s="44">
        <v>9</v>
      </c>
      <c r="X12" s="44"/>
      <c r="Y12" s="45">
        <v>9</v>
      </c>
      <c r="Z12" s="43"/>
      <c r="AA12" s="44">
        <v>5</v>
      </c>
      <c r="AB12" s="44"/>
      <c r="AC12" s="45">
        <v>5</v>
      </c>
      <c r="AD12" s="43"/>
      <c r="AE12" s="44"/>
      <c r="AF12" s="44"/>
      <c r="AG12" s="45"/>
      <c r="AH12" s="44"/>
      <c r="AI12" s="44"/>
      <c r="AJ12" s="44"/>
      <c r="AK12" s="44"/>
      <c r="AL12" s="43"/>
      <c r="AM12" s="44">
        <f>IF(AK13="","",AK13)</f>
        <v>1</v>
      </c>
      <c r="AN12" s="44"/>
      <c r="AO12" s="45">
        <f>IF(AI13="","",AI13)</f>
        <v>6</v>
      </c>
      <c r="AP12" s="43"/>
      <c r="AQ12" s="44">
        <f>IF(AK14="","",AK14)</f>
      </c>
      <c r="AR12" s="44"/>
      <c r="AS12" s="45">
        <f>IF(AI14="","",AI14)</f>
      </c>
      <c r="AT12" s="47">
        <f t="shared" si="0"/>
        <v>2</v>
      </c>
      <c r="AU12" s="37">
        <f t="shared" si="1"/>
        <v>4</v>
      </c>
      <c r="AV12" s="37">
        <f t="shared" si="2"/>
        <v>2</v>
      </c>
      <c r="AW12" s="38">
        <f t="shared" si="3"/>
        <v>4</v>
      </c>
      <c r="AX12" s="39">
        <f t="shared" si="4"/>
        <v>0</v>
      </c>
      <c r="AY12" s="40">
        <f t="shared" si="5"/>
        <v>2</v>
      </c>
      <c r="AZ12" s="41">
        <f t="shared" si="6"/>
        <v>6</v>
      </c>
      <c r="BA12" s="37">
        <f t="shared" si="7"/>
        <v>44</v>
      </c>
      <c r="BB12" s="37">
        <f t="shared" si="8"/>
        <v>57</v>
      </c>
      <c r="BC12" s="37">
        <f t="shared" si="9"/>
        <v>-13</v>
      </c>
      <c r="BF12" s="49">
        <f>BK12+COUNTIF(BK$3:BK11,BK12)</f>
        <v>5</v>
      </c>
      <c r="BG12" s="51" t="str">
        <f t="shared" si="10"/>
        <v>湖北フレンズ</v>
      </c>
      <c r="BH12" s="49">
        <f t="shared" si="11"/>
        <v>6</v>
      </c>
      <c r="BI12" s="49">
        <f t="shared" si="12"/>
        <v>2</v>
      </c>
      <c r="BJ12" s="49">
        <f t="shared" si="13"/>
        <v>8</v>
      </c>
      <c r="BK12" s="49">
        <f t="shared" si="14"/>
        <v>5</v>
      </c>
      <c r="BL12" s="50">
        <f t="shared" si="15"/>
        <v>9</v>
      </c>
      <c r="BM12" s="52" t="str">
        <f t="shared" si="16"/>
        <v>双葉</v>
      </c>
      <c r="BN12" s="52">
        <f t="shared" si="17"/>
        <v>0</v>
      </c>
      <c r="BO12" s="52">
        <f t="shared" si="18"/>
        <v>0</v>
      </c>
      <c r="BP12" s="52">
        <f t="shared" si="19"/>
        <v>7</v>
      </c>
      <c r="BQ12" s="62"/>
      <c r="BS12" s="49">
        <f>BV12+COUNTIF(BV$3:BV11,BV12)</f>
        <v>4</v>
      </c>
      <c r="BT12" s="51" t="str">
        <f t="shared" si="20"/>
        <v>湖北フレンズ</v>
      </c>
      <c r="BU12" s="49">
        <f t="shared" si="21"/>
        <v>8</v>
      </c>
      <c r="BV12" s="49">
        <f t="shared" si="22"/>
        <v>4</v>
      </c>
      <c r="BW12" s="50">
        <f t="shared" si="23"/>
        <v>9</v>
      </c>
      <c r="BX12" s="52" t="str">
        <f t="shared" si="24"/>
        <v>野菊野ファイターズ</v>
      </c>
    </row>
    <row r="13" spans="1:76" ht="19.5" customHeight="1">
      <c r="A13" s="107" t="s">
        <v>93</v>
      </c>
      <c r="B13" s="43"/>
      <c r="C13" s="44">
        <v>6</v>
      </c>
      <c r="D13" s="44"/>
      <c r="E13" s="45">
        <v>5</v>
      </c>
      <c r="F13" s="43"/>
      <c r="G13" s="44">
        <v>9</v>
      </c>
      <c r="H13" s="44"/>
      <c r="I13" s="45">
        <v>2</v>
      </c>
      <c r="J13" s="43"/>
      <c r="K13" s="44">
        <v>7</v>
      </c>
      <c r="L13" s="44"/>
      <c r="M13" s="45">
        <v>1</v>
      </c>
      <c r="N13" s="43"/>
      <c r="O13" s="44">
        <v>1</v>
      </c>
      <c r="P13" s="44"/>
      <c r="Q13" s="45">
        <v>1</v>
      </c>
      <c r="R13" s="43"/>
      <c r="S13" s="44">
        <v>4</v>
      </c>
      <c r="T13" s="44"/>
      <c r="U13" s="45">
        <v>11</v>
      </c>
      <c r="V13" s="43"/>
      <c r="W13" s="44">
        <v>22</v>
      </c>
      <c r="X13" s="44"/>
      <c r="Y13" s="45">
        <v>0</v>
      </c>
      <c r="Z13" s="43"/>
      <c r="AA13" s="44">
        <v>1</v>
      </c>
      <c r="AB13" s="44"/>
      <c r="AC13" s="45">
        <v>8</v>
      </c>
      <c r="AD13" s="43"/>
      <c r="AE13" s="44">
        <v>11</v>
      </c>
      <c r="AF13" s="44"/>
      <c r="AG13" s="45">
        <v>4</v>
      </c>
      <c r="AH13" s="44"/>
      <c r="AI13" s="44">
        <v>6</v>
      </c>
      <c r="AJ13" s="44"/>
      <c r="AK13" s="44">
        <v>1</v>
      </c>
      <c r="AL13" s="43"/>
      <c r="AM13" s="44"/>
      <c r="AN13" s="44"/>
      <c r="AO13" s="45"/>
      <c r="AP13" s="43"/>
      <c r="AQ13" s="44">
        <f>IF(AO14="","",AO14)</f>
      </c>
      <c r="AR13" s="44"/>
      <c r="AS13" s="45">
        <f>IF(AM14="","",AM14)</f>
      </c>
      <c r="AT13" s="47">
        <f t="shared" si="0"/>
        <v>6</v>
      </c>
      <c r="AU13" s="37">
        <f t="shared" si="1"/>
        <v>2</v>
      </c>
      <c r="AV13" s="37">
        <f t="shared" si="2"/>
        <v>1</v>
      </c>
      <c r="AW13" s="38">
        <f t="shared" si="3"/>
        <v>12</v>
      </c>
      <c r="AX13" s="39">
        <f t="shared" si="4"/>
        <v>0</v>
      </c>
      <c r="AY13" s="40">
        <f t="shared" si="5"/>
        <v>1</v>
      </c>
      <c r="AZ13" s="41">
        <f t="shared" si="6"/>
        <v>13</v>
      </c>
      <c r="BA13" s="37">
        <f t="shared" si="7"/>
        <v>67</v>
      </c>
      <c r="BB13" s="37">
        <f t="shared" si="8"/>
        <v>33</v>
      </c>
      <c r="BC13" s="37">
        <f t="shared" si="9"/>
        <v>34</v>
      </c>
      <c r="BF13" s="49">
        <f>BK13+COUNTIF(BK$3:BK12,BK13)</f>
        <v>3</v>
      </c>
      <c r="BG13" s="51" t="str">
        <f t="shared" si="10"/>
        <v>増尾レッドスターズ</v>
      </c>
      <c r="BH13" s="49">
        <f t="shared" si="11"/>
        <v>13</v>
      </c>
      <c r="BI13" s="49">
        <f t="shared" si="12"/>
        <v>6</v>
      </c>
      <c r="BJ13" s="49">
        <f t="shared" si="13"/>
        <v>9</v>
      </c>
      <c r="BK13" s="49">
        <f t="shared" si="14"/>
        <v>3</v>
      </c>
      <c r="BL13" s="50">
        <f t="shared" si="15"/>
        <v>9</v>
      </c>
      <c r="BM13" s="52" t="str">
        <f t="shared" si="16"/>
        <v>新富少年野球部</v>
      </c>
      <c r="BN13" s="52">
        <f t="shared" si="17"/>
        <v>0</v>
      </c>
      <c r="BO13" s="52">
        <f t="shared" si="18"/>
        <v>0</v>
      </c>
      <c r="BP13" s="52">
        <f t="shared" si="19"/>
        <v>3</v>
      </c>
      <c r="BQ13" s="62"/>
      <c r="BS13" s="49">
        <f>BV13+COUNTIF(BV$3:BV12,BV13)</f>
        <v>3</v>
      </c>
      <c r="BT13" s="51" t="str">
        <f t="shared" si="20"/>
        <v>増尾レッドスターズ</v>
      </c>
      <c r="BU13" s="49">
        <f t="shared" si="21"/>
        <v>9</v>
      </c>
      <c r="BV13" s="49">
        <f t="shared" si="22"/>
        <v>1</v>
      </c>
      <c r="BW13" s="50">
        <f t="shared" si="23"/>
        <v>10</v>
      </c>
      <c r="BX13" s="52" t="str">
        <f t="shared" si="24"/>
        <v>新富少年野球部</v>
      </c>
    </row>
    <row r="14" spans="1:76" ht="19.5" customHeight="1">
      <c r="A14" s="107"/>
      <c r="B14" s="43"/>
      <c r="C14" s="44"/>
      <c r="D14" s="44"/>
      <c r="E14" s="45"/>
      <c r="F14" s="43"/>
      <c r="G14" s="44"/>
      <c r="H14" s="44"/>
      <c r="I14" s="45"/>
      <c r="J14" s="43"/>
      <c r="K14" s="44"/>
      <c r="L14" s="44"/>
      <c r="M14" s="45"/>
      <c r="N14" s="43"/>
      <c r="O14" s="44"/>
      <c r="P14" s="44"/>
      <c r="Q14" s="45"/>
      <c r="R14" s="43"/>
      <c r="S14" s="44"/>
      <c r="T14" s="44"/>
      <c r="U14" s="45"/>
      <c r="V14" s="43"/>
      <c r="W14" s="44"/>
      <c r="X14" s="44"/>
      <c r="Y14" s="45"/>
      <c r="Z14" s="43"/>
      <c r="AA14" s="44"/>
      <c r="AB14" s="44"/>
      <c r="AC14" s="45"/>
      <c r="AD14" s="43"/>
      <c r="AE14" s="44"/>
      <c r="AF14" s="44"/>
      <c r="AG14" s="45"/>
      <c r="AH14" s="44"/>
      <c r="AI14" s="44"/>
      <c r="AJ14" s="44"/>
      <c r="AK14" s="44"/>
      <c r="AL14" s="43"/>
      <c r="AM14" s="44"/>
      <c r="AN14" s="44"/>
      <c r="AO14" s="45"/>
      <c r="AP14" s="43"/>
      <c r="AQ14" s="44"/>
      <c r="AR14" s="44"/>
      <c r="AS14" s="45"/>
      <c r="AT14" s="47"/>
      <c r="AU14" s="37"/>
      <c r="AV14" s="37"/>
      <c r="AW14" s="38"/>
      <c r="AX14" s="39"/>
      <c r="AY14" s="40"/>
      <c r="AZ14" s="41"/>
      <c r="BA14" s="37"/>
      <c r="BB14" s="37"/>
      <c r="BC14" s="37"/>
      <c r="BF14" s="49"/>
      <c r="BG14" s="51"/>
      <c r="BH14" s="49"/>
      <c r="BI14" s="49"/>
      <c r="BJ14" s="49"/>
      <c r="BK14" s="49"/>
      <c r="BL14" s="50"/>
      <c r="BM14" s="52"/>
      <c r="BN14" s="52"/>
      <c r="BO14" s="52"/>
      <c r="BP14" s="52"/>
      <c r="BQ14" s="62"/>
      <c r="BS14" s="49"/>
      <c r="BT14" s="51"/>
      <c r="BU14" s="49"/>
      <c r="BV14" s="49"/>
      <c r="BW14" s="50"/>
      <c r="BX14" s="52"/>
    </row>
    <row r="15" spans="1:74" ht="19.5" customHeight="1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4"/>
      <c r="AH15" s="4"/>
      <c r="AI15" s="4"/>
      <c r="AJ15" s="4"/>
      <c r="AK15" s="4"/>
      <c r="AL15" s="4"/>
      <c r="AM15" s="8"/>
      <c r="AN15" s="2"/>
      <c r="AO15" s="1"/>
      <c r="AP15" s="1"/>
      <c r="AQ15" s="1"/>
      <c r="AR15" s="1"/>
      <c r="AS15" s="1"/>
      <c r="AT15" s="7">
        <f>SUM(AT4:AT14)</f>
        <v>31</v>
      </c>
      <c r="AU15" s="7">
        <f>SUM(AU4:AU14)</f>
        <v>31</v>
      </c>
      <c r="AV15" s="7">
        <f>SUM(AV4:AV14)</f>
        <v>8</v>
      </c>
      <c r="AW15" s="7"/>
      <c r="AX15" s="7"/>
      <c r="AY15" s="1"/>
      <c r="AZ15" s="1"/>
      <c r="BA15" s="1">
        <f>SUM(BA4:BA14)</f>
        <v>398</v>
      </c>
      <c r="BB15" s="1">
        <f>SUM(BB4:BB14)</f>
        <v>398</v>
      </c>
      <c r="BC15" s="1">
        <f>SUM(BC4:BC14)</f>
        <v>0</v>
      </c>
      <c r="BU15" s="108">
        <f>SUM(BU4:BU14)/2</f>
        <v>35</v>
      </c>
      <c r="BV15" s="3">
        <f>10*9/2</f>
        <v>45</v>
      </c>
    </row>
    <row r="16" spans="1:55" ht="19.5" customHeight="1">
      <c r="A16" s="4" t="s">
        <v>1</v>
      </c>
      <c r="B16" s="90" t="s">
        <v>71</v>
      </c>
      <c r="C16" s="58"/>
      <c r="D16" s="58"/>
      <c r="E16" s="58"/>
      <c r="F16" s="58"/>
      <c r="G16" s="158" t="str">
        <f>"１日"&amp;ROUND((BV29-BU29)/'戦績'!N42,1)&amp;"試合"</f>
        <v>１日1試合</v>
      </c>
      <c r="H16" s="158"/>
      <c r="I16" s="158"/>
      <c r="J16" s="158"/>
      <c r="K16" s="153" t="s">
        <v>53</v>
      </c>
      <c r="L16" s="153"/>
      <c r="M16" s="153"/>
      <c r="N16" s="153"/>
      <c r="O16" s="154" t="str">
        <f>IF(C71&gt;C70,+BM18,"")</f>
        <v>串崎スワローズ</v>
      </c>
      <c r="P16" s="154"/>
      <c r="Q16" s="154"/>
      <c r="R16" s="154"/>
      <c r="S16" s="154"/>
      <c r="T16" s="59"/>
      <c r="U16" s="153" t="s">
        <v>54</v>
      </c>
      <c r="V16" s="153"/>
      <c r="W16" s="153"/>
      <c r="X16" s="153"/>
      <c r="Y16" s="154" t="str">
        <f>IF(C71&gt;C70,+BM19,"")</f>
        <v>豊上ジュニアーズ</v>
      </c>
      <c r="Z16" s="154"/>
      <c r="AA16" s="154"/>
      <c r="AB16" s="154"/>
      <c r="AC16" s="154"/>
      <c r="AD16" s="154"/>
      <c r="AE16" s="1"/>
      <c r="AF16" s="1"/>
      <c r="AG16" s="1"/>
      <c r="AH16" s="1"/>
      <c r="AI16" s="1"/>
      <c r="AJ16" s="1"/>
      <c r="AK16" s="1"/>
      <c r="AL16" s="1"/>
      <c r="AM16" s="1"/>
      <c r="AN16" s="61" t="s">
        <v>55</v>
      </c>
      <c r="AO16" s="1"/>
      <c r="AP16" s="1"/>
      <c r="AQ16" s="1"/>
      <c r="AR16" s="177">
        <f>+BU29/(MAX(BF18:BF28)*(MAX(BF18:BF28)-1)/2)</f>
        <v>0.9166666666666666</v>
      </c>
      <c r="AS16" s="177"/>
      <c r="AT16" s="67">
        <f>IF(AT15=AU15,"","計算間違い")</f>
      </c>
      <c r="AU16" s="1"/>
      <c r="AV16" s="1"/>
      <c r="AW16" s="1" t="s">
        <v>56</v>
      </c>
      <c r="AX16" s="1" t="s">
        <v>57</v>
      </c>
      <c r="AY16" s="1" t="s">
        <v>58</v>
      </c>
      <c r="AZ16" s="1"/>
      <c r="BA16" s="1"/>
      <c r="BB16" s="1"/>
      <c r="BC16" s="1"/>
    </row>
    <row r="17" spans="1:73" ht="19.5" customHeight="1">
      <c r="A17" s="5"/>
      <c r="B17" s="152" t="str">
        <f>+A18</f>
        <v>ヤングスターズ</v>
      </c>
      <c r="C17" s="152"/>
      <c r="D17" s="152"/>
      <c r="E17" s="152"/>
      <c r="F17" s="152" t="str">
        <f>+A19</f>
        <v>串崎スワローズ</v>
      </c>
      <c r="G17" s="152"/>
      <c r="H17" s="152"/>
      <c r="I17" s="152"/>
      <c r="J17" s="152" t="str">
        <f>+A20</f>
        <v>矢切コンドルス</v>
      </c>
      <c r="K17" s="152"/>
      <c r="L17" s="152"/>
      <c r="M17" s="152"/>
      <c r="N17" s="152" t="str">
        <f>+A21</f>
        <v>松戸中央エンジェルス</v>
      </c>
      <c r="O17" s="152"/>
      <c r="P17" s="152"/>
      <c r="Q17" s="152"/>
      <c r="R17" s="152" t="str">
        <f>+A22</f>
        <v>花井ヤンキース</v>
      </c>
      <c r="S17" s="152"/>
      <c r="T17" s="152"/>
      <c r="U17" s="152"/>
      <c r="V17" s="152" t="str">
        <f>+A23</f>
        <v>光インパルス</v>
      </c>
      <c r="W17" s="152"/>
      <c r="X17" s="152"/>
      <c r="Y17" s="152"/>
      <c r="Z17" s="152" t="str">
        <f>+A24</f>
        <v>豊上ジュニアーズ</v>
      </c>
      <c r="AA17" s="152"/>
      <c r="AB17" s="152"/>
      <c r="AC17" s="152"/>
      <c r="AD17" s="152" t="str">
        <f>+A25</f>
        <v>光ヶ丘シャークス</v>
      </c>
      <c r="AE17" s="152"/>
      <c r="AF17" s="152"/>
      <c r="AG17" s="152"/>
      <c r="AH17" s="152" t="str">
        <f>+A26</f>
        <v>リトルキング</v>
      </c>
      <c r="AI17" s="152"/>
      <c r="AJ17" s="152"/>
      <c r="AK17" s="152"/>
      <c r="AL17" s="152">
        <f>+A27</f>
        <v>0</v>
      </c>
      <c r="AM17" s="152"/>
      <c r="AN17" s="152"/>
      <c r="AO17" s="152"/>
      <c r="AP17" s="152">
        <f>+A28</f>
        <v>0</v>
      </c>
      <c r="AQ17" s="152"/>
      <c r="AR17" s="152"/>
      <c r="AS17" s="152"/>
      <c r="AT17" s="32" t="s">
        <v>7</v>
      </c>
      <c r="AU17" s="32" t="s">
        <v>8</v>
      </c>
      <c r="AV17" s="32" t="s">
        <v>9</v>
      </c>
      <c r="AW17" s="33" t="s">
        <v>59</v>
      </c>
      <c r="AX17" s="34" t="s">
        <v>60</v>
      </c>
      <c r="AY17" s="35" t="s">
        <v>61</v>
      </c>
      <c r="AZ17" s="36" t="s">
        <v>62</v>
      </c>
      <c r="BA17" s="32" t="s">
        <v>11</v>
      </c>
      <c r="BB17" s="32" t="s">
        <v>12</v>
      </c>
      <c r="BC17" s="32" t="s">
        <v>13</v>
      </c>
      <c r="BF17" s="48"/>
      <c r="BG17" s="48" t="s">
        <v>63</v>
      </c>
      <c r="BH17" s="48" t="s">
        <v>64</v>
      </c>
      <c r="BI17" s="48"/>
      <c r="BJ17" s="48"/>
      <c r="BK17" s="48"/>
      <c r="BL17" s="48"/>
      <c r="BT17" s="3" t="s">
        <v>63</v>
      </c>
      <c r="BU17" s="3" t="s">
        <v>66</v>
      </c>
    </row>
    <row r="18" spans="1:76" ht="19.5" customHeight="1">
      <c r="A18" s="107" t="s">
        <v>97</v>
      </c>
      <c r="B18" s="43"/>
      <c r="C18" s="44"/>
      <c r="D18" s="44"/>
      <c r="E18" s="45"/>
      <c r="F18" s="43"/>
      <c r="G18" s="44">
        <f>IF(E19="","",E19)</f>
      </c>
      <c r="H18" s="44"/>
      <c r="I18" s="45">
        <f>IF(C19="","",C19)</f>
      </c>
      <c r="J18" s="43"/>
      <c r="K18" s="44">
        <f>IF(E20="","",E20)</f>
        <v>7</v>
      </c>
      <c r="L18" s="44"/>
      <c r="M18" s="45">
        <f>IF(C20="","",C20)</f>
        <v>20</v>
      </c>
      <c r="N18" s="43"/>
      <c r="O18" s="44">
        <f>IF(E21="","",E21)</f>
        <v>0</v>
      </c>
      <c r="P18" s="44"/>
      <c r="Q18" s="45">
        <f>IF(C21="","",C21)</f>
        <v>7</v>
      </c>
      <c r="R18" s="43"/>
      <c r="S18" s="44">
        <f>IF(E22="","",E22)</f>
        <v>2</v>
      </c>
      <c r="T18" s="44"/>
      <c r="U18" s="45">
        <f>IF(C22="","",C22)</f>
        <v>17</v>
      </c>
      <c r="V18" s="43"/>
      <c r="W18" s="44">
        <f>IF(E23="","",E23)</f>
        <v>4</v>
      </c>
      <c r="X18" s="44"/>
      <c r="Y18" s="45">
        <f>IF(C23="","",C23)</f>
        <v>8</v>
      </c>
      <c r="Z18" s="43"/>
      <c r="AA18" s="44">
        <f>IF(E24="","",E24)</f>
        <v>0</v>
      </c>
      <c r="AB18" s="44"/>
      <c r="AC18" s="45">
        <f>IF(C24="","",C24)</f>
        <v>24</v>
      </c>
      <c r="AD18" s="43"/>
      <c r="AE18" s="44">
        <f>IF(E25="","",E25)</f>
        <v>3</v>
      </c>
      <c r="AF18" s="44"/>
      <c r="AG18" s="45">
        <f>IF(C25="","",C25)</f>
        <v>23</v>
      </c>
      <c r="AH18" s="43"/>
      <c r="AI18" s="44">
        <f>IF(E26="","",E26)</f>
        <v>2</v>
      </c>
      <c r="AJ18" s="44"/>
      <c r="AK18" s="45">
        <f>IF(C26="","",C26)</f>
        <v>14</v>
      </c>
      <c r="AL18" s="43"/>
      <c r="AM18" s="44">
        <f>IF(E27="","",E27)</f>
      </c>
      <c r="AN18" s="44"/>
      <c r="AO18" s="45">
        <f>IF(C27="","",C27)</f>
      </c>
      <c r="AP18" s="43"/>
      <c r="AQ18" s="44">
        <f>IF(E28="","",E28)</f>
      </c>
      <c r="AR18" s="44"/>
      <c r="AS18" s="45">
        <f>IF(C28="","",C28)</f>
      </c>
      <c r="AT18" s="47">
        <f aca="true" t="shared" si="25" ref="AT18:AT26">IF(C18&gt;E18,1,0)+IF(G18&gt;I18,1,0)+IF(K18&gt;M18,1,0)+IF(O18&gt;Q18,1,0)+IF(S18&gt;U18,1,0)+IF(W18&gt;Y18,1,0)+IF(AA18&gt;AC18,1,0)+IF(AE18&gt;AG18,1,0)+IF(AM18&gt;AO18,1,0)+IF(AQ18&gt;AS18,1,0)+IF(AI18&gt;AK18,1,0)</f>
        <v>0</v>
      </c>
      <c r="AU18" s="37">
        <f aca="true" t="shared" si="26" ref="AU18:AU26">IF(C18&lt;E18,1,0)+IF(G18&lt;I18,1,0)+IF(K18&lt;M18,1,0)+IF(O18&lt;Q18,1,0)+IF(S18&lt;U18,1,0)+IF(W18&lt;Y18,1,0)+IF(AA18&lt;AC18,1,0)+IF(AE18&lt;AG18,1,0)+IF(AM18&lt;AO18,1,0)+IF(AQ18&lt;AS18,1,0)+IF(AI18&lt;AK18,1,0)</f>
        <v>7</v>
      </c>
      <c r="AV18" s="37">
        <f aca="true" t="shared" si="27" ref="AV18:AV26">IF(AND(ISNUMBER(C18),C18=E18),1,0)+IF(AND(ISNUMBER(G18),G18=I18),1,0)+IF(AND(ISNUMBER(K18),K18=M18),1,)+IF(AND(ISNUMBER(O18),O18=Q18),1,0)+IF(AND(ISNUMBER(S18),S18=U18),1,0)+IF(AND(ISNUMBER(W18),W18=Y18),1,0)+IF(AND(ISNUMBER(AA18),AA18=AC18),1,0)+IF(AND(ISNUMBER(AE18),AE18=AG18),1,0)+IF(AND(ISNUMBER(AM18),AM18=AO18),1,0)+IF(AND(ISNUMBER(AQ18),AQ18=AS18),1,0)+IF(AND(ISNUMBER(AI18),AI18=AK18),1,0)</f>
        <v>0</v>
      </c>
      <c r="AW18" s="38">
        <f aca="true" t="shared" si="28" ref="AW18:AW26">AT18*2</f>
        <v>0</v>
      </c>
      <c r="AX18" s="39">
        <f aca="true" t="shared" si="29" ref="AX18:AX26">AU18*0</f>
        <v>0</v>
      </c>
      <c r="AY18" s="40">
        <f aca="true" t="shared" si="30" ref="AY18:AY26">AV18*1</f>
        <v>0</v>
      </c>
      <c r="AZ18" s="41">
        <f aca="true" t="shared" si="31" ref="AZ18:AZ26">AW18+AX18+AY18</f>
        <v>0</v>
      </c>
      <c r="BA18" s="37">
        <f aca="true" t="shared" si="32" ref="BA18:BA26">IF(ISNUMBER(G18),G18,0)+IF(ISNUMBER(K18),K18,0)+IF(ISNUMBER(O18),O18,0)+IF(ISNUMBER(AA18),AA18,0)+IF(ISNUMBER(AE18),AE18,0)+IF(ISNUMBER(AM18),AM18,0)+IF(ISNUMBER(S18),S18,0)+IF(ISNUMBER(W18),W18,0)+IF(ISNUMBER(C18),C18,0)+IF(ISNUMBER(AQ18),AQ18,0)+IF(ISNUMBER(AI18),AI18,0)</f>
        <v>18</v>
      </c>
      <c r="BB18" s="37">
        <f aca="true" t="shared" si="33" ref="BB18:BB26">IF(ISNUMBER(I18),I18,0)+IF(ISNUMBER(M18),M18,0)+IF(ISNUMBER(Q18),Q18,0)+IF(ISNUMBER(AC18),AC18,0)+IF(ISNUMBER(AG18),AG18,0)+IF(ISNUMBER(AO18),AO18,0)+IF(ISNUMBER(U18),U18,0)+IF(ISNUMBER(Y18),Y18,0)+IF(ISNUMBER(E18),E18,0)+IF(ISNUMBER(AS18),AS18,0)+IF(ISNUMBER(AK18),AK18,0)</f>
        <v>113</v>
      </c>
      <c r="BC18" s="37">
        <f aca="true" t="shared" si="34" ref="BC18:BC26">BA18-BB18</f>
        <v>-95</v>
      </c>
      <c r="BF18" s="49">
        <f>BK18+COUNTIF(BK$17:BK17,BK18)</f>
        <v>9</v>
      </c>
      <c r="BG18" s="51" t="str">
        <f aca="true" t="shared" si="35" ref="BG18:BG26">+A18</f>
        <v>ヤングスターズ</v>
      </c>
      <c r="BH18" s="49">
        <f aca="true" t="shared" si="36" ref="BH18:BH26">+AZ18</f>
        <v>0</v>
      </c>
      <c r="BI18" s="49">
        <f aca="true" t="shared" si="37" ref="BI18:BI26">+AT18</f>
        <v>0</v>
      </c>
      <c r="BJ18" s="49">
        <f aca="true" t="shared" si="38" ref="BJ18:BJ26">+AT18+AU18+AV18</f>
        <v>7</v>
      </c>
      <c r="BK18" s="49">
        <f>RANK(BH18,BH$18:BH$26)</f>
        <v>9</v>
      </c>
      <c r="BL18" s="50">
        <f>VLOOKUP(ROW(BF1),$BF$18:$BK$26,6,FALSE)</f>
        <v>1</v>
      </c>
      <c r="BM18" s="52" t="str">
        <f>VLOOKUP(ROW(BF1),$BF$18:$BK$26,2,FALSE)</f>
        <v>串崎スワローズ</v>
      </c>
      <c r="BN18" s="52">
        <f>VLOOKUP(ROW(BF1),$BF$18:$BK$26,3,FALSE)</f>
        <v>13</v>
      </c>
      <c r="BO18" s="52">
        <f>VLOOKUP(ROW(BF1),$BF$18:$BK$26,4,FALSE)</f>
        <v>6</v>
      </c>
      <c r="BP18" s="52">
        <f>VLOOKUP(ROW(BF1),$BF$18:$BK$26,5,FALSE)</f>
        <v>7</v>
      </c>
      <c r="BQ18" s="62"/>
      <c r="BS18" s="49">
        <f>BV18+COUNTIF(BV$17:BV17,BV18)</f>
        <v>5</v>
      </c>
      <c r="BT18" s="51" t="str">
        <f aca="true" t="shared" si="39" ref="BT18:BT26">+BG18</f>
        <v>ヤングスターズ</v>
      </c>
      <c r="BU18" s="49">
        <f aca="true" t="shared" si="40" ref="BU18:BU26">COUNT(B18:AS18)/2</f>
        <v>7</v>
      </c>
      <c r="BV18" s="49">
        <f>RANK(BU18,BU$18:BU$26)</f>
        <v>5</v>
      </c>
      <c r="BW18" s="50">
        <f>VLOOKUP(ROW(BS1),$BS$17:$BV$26,4,FALSE)</f>
        <v>1</v>
      </c>
      <c r="BX18" s="52" t="str">
        <f>VLOOKUP(ROW(BT1),$BS$18:$BV$26,2,FALSE)</f>
        <v>松戸中央エンジェルス</v>
      </c>
    </row>
    <row r="19" spans="1:76" ht="19.5" customHeight="1">
      <c r="A19" s="107" t="s">
        <v>117</v>
      </c>
      <c r="B19" s="43"/>
      <c r="C19" s="44"/>
      <c r="D19" s="44"/>
      <c r="E19" s="45"/>
      <c r="F19" s="43"/>
      <c r="G19" s="44"/>
      <c r="H19" s="44"/>
      <c r="I19" s="45"/>
      <c r="J19" s="43"/>
      <c r="K19" s="44">
        <f>IF(I20="","",I20)</f>
        <v>6</v>
      </c>
      <c r="L19" s="44"/>
      <c r="M19" s="45">
        <f>IF(G20="","",G20)</f>
        <v>3</v>
      </c>
      <c r="N19" s="43"/>
      <c r="O19" s="44">
        <f>IF(I21="","",I21)</f>
        <v>7</v>
      </c>
      <c r="P19" s="44"/>
      <c r="Q19" s="45">
        <f>IF(G21="","",G21)</f>
        <v>3</v>
      </c>
      <c r="R19" s="43"/>
      <c r="S19" s="44">
        <f>IF(I22="","",I22)</f>
        <v>8</v>
      </c>
      <c r="T19" s="44"/>
      <c r="U19" s="45">
        <f>IF(G22="","",G22)</f>
        <v>2</v>
      </c>
      <c r="V19" s="43"/>
      <c r="W19" s="44">
        <f>IF(I23="","",I23)</f>
        <v>5</v>
      </c>
      <c r="X19" s="44"/>
      <c r="Y19" s="45">
        <f>IF(G23="","",G23)</f>
        <v>0</v>
      </c>
      <c r="Z19" s="43"/>
      <c r="AA19" s="44">
        <f>IF(I24="","",I24)</f>
        <v>1</v>
      </c>
      <c r="AB19" s="44"/>
      <c r="AC19" s="45">
        <f>IF(G24="","",G24)</f>
        <v>0</v>
      </c>
      <c r="AD19" s="43"/>
      <c r="AE19" s="44">
        <f>IF(I25="","",I25)</f>
        <v>4</v>
      </c>
      <c r="AF19" s="44"/>
      <c r="AG19" s="45">
        <f>IF(G25="","",G25)</f>
        <v>4</v>
      </c>
      <c r="AH19" s="43"/>
      <c r="AI19" s="44">
        <f>IF(I26="","",I26)</f>
        <v>9</v>
      </c>
      <c r="AJ19" s="44"/>
      <c r="AK19" s="45">
        <f>IF(G26="","",G26)</f>
        <v>2</v>
      </c>
      <c r="AL19" s="43"/>
      <c r="AM19" s="44">
        <f>IF(I27="","",I27)</f>
      </c>
      <c r="AN19" s="44"/>
      <c r="AO19" s="45">
        <f>IF(G27="","",G27)</f>
      </c>
      <c r="AP19" s="43"/>
      <c r="AQ19" s="44">
        <f>IF(I28="","",I28)</f>
      </c>
      <c r="AR19" s="44"/>
      <c r="AS19" s="45">
        <f>IF(G28="","",G28)</f>
      </c>
      <c r="AT19" s="47">
        <f t="shared" si="25"/>
        <v>6</v>
      </c>
      <c r="AU19" s="37">
        <f t="shared" si="26"/>
        <v>0</v>
      </c>
      <c r="AV19" s="37">
        <f t="shared" si="27"/>
        <v>1</v>
      </c>
      <c r="AW19" s="38">
        <f t="shared" si="28"/>
        <v>12</v>
      </c>
      <c r="AX19" s="39">
        <f t="shared" si="29"/>
        <v>0</v>
      </c>
      <c r="AY19" s="40">
        <f t="shared" si="30"/>
        <v>1</v>
      </c>
      <c r="AZ19" s="41">
        <f t="shared" si="31"/>
        <v>13</v>
      </c>
      <c r="BA19" s="37">
        <f t="shared" si="32"/>
        <v>40</v>
      </c>
      <c r="BB19" s="37">
        <f t="shared" si="33"/>
        <v>14</v>
      </c>
      <c r="BC19" s="37">
        <f t="shared" si="34"/>
        <v>26</v>
      </c>
      <c r="BF19" s="49">
        <f>BK19+COUNTIF(BK$17:BK18,BK19)</f>
        <v>1</v>
      </c>
      <c r="BG19" s="51" t="str">
        <f t="shared" si="35"/>
        <v>串崎スワローズ</v>
      </c>
      <c r="BH19" s="49">
        <f t="shared" si="36"/>
        <v>13</v>
      </c>
      <c r="BI19" s="49">
        <f t="shared" si="37"/>
        <v>6</v>
      </c>
      <c r="BJ19" s="49">
        <f t="shared" si="38"/>
        <v>7</v>
      </c>
      <c r="BK19" s="49">
        <f aca="true" t="shared" si="41" ref="BK19:BK26">RANK(BH19,BH$18:BH$26)</f>
        <v>1</v>
      </c>
      <c r="BL19" s="50">
        <f aca="true" t="shared" si="42" ref="BL19:BL26">VLOOKUP(ROW(BF2),$BF$18:$BK$26,6,FALSE)</f>
        <v>2</v>
      </c>
      <c r="BM19" s="52" t="str">
        <f aca="true" t="shared" si="43" ref="BM19:BM26">VLOOKUP(ROW(BF2),$BF$18:$BK$26,2,FALSE)</f>
        <v>豊上ジュニアーズ</v>
      </c>
      <c r="BN19" s="52">
        <f aca="true" t="shared" si="44" ref="BN19:BN26">VLOOKUP(ROW(BF2),$BF$18:$BK$26,3,FALSE)</f>
        <v>12</v>
      </c>
      <c r="BO19" s="52">
        <f aca="true" t="shared" si="45" ref="BO19:BO26">VLOOKUP(ROW(BF2),$BF$18:$BK$26,4,FALSE)</f>
        <v>6</v>
      </c>
      <c r="BP19" s="52">
        <f aca="true" t="shared" si="46" ref="BP19:BP26">VLOOKUP(ROW(BF2),$BF$18:$BK$26,5,FALSE)</f>
        <v>8</v>
      </c>
      <c r="BQ19" s="62"/>
      <c r="BS19" s="49">
        <f>BV19+COUNTIF(BV$17:BV18,BV19)</f>
        <v>6</v>
      </c>
      <c r="BT19" s="51" t="str">
        <f t="shared" si="39"/>
        <v>串崎スワローズ</v>
      </c>
      <c r="BU19" s="49">
        <f t="shared" si="40"/>
        <v>7</v>
      </c>
      <c r="BV19" s="49">
        <f aca="true" t="shared" si="47" ref="BV19:BV26">RANK(BU19,BU$18:BU$26)</f>
        <v>5</v>
      </c>
      <c r="BW19" s="50">
        <f aca="true" t="shared" si="48" ref="BW19:BW26">VLOOKUP(ROW(BS2),$BS$17:$BV$26,4,FALSE)</f>
        <v>1</v>
      </c>
      <c r="BX19" s="52" t="str">
        <f aca="true" t="shared" si="49" ref="BX19:BX26">VLOOKUP(ROW(BT2),$BS$18:$BV$26,2,FALSE)</f>
        <v>花井ヤンキース</v>
      </c>
    </row>
    <row r="20" spans="1:76" ht="19.5" customHeight="1">
      <c r="A20" s="107" t="s">
        <v>111</v>
      </c>
      <c r="B20" s="43"/>
      <c r="C20" s="44">
        <v>20</v>
      </c>
      <c r="D20" s="44"/>
      <c r="E20" s="45">
        <v>7</v>
      </c>
      <c r="F20" s="43"/>
      <c r="G20" s="44">
        <v>3</v>
      </c>
      <c r="H20" s="44"/>
      <c r="I20" s="45">
        <v>6</v>
      </c>
      <c r="J20" s="43"/>
      <c r="K20" s="44"/>
      <c r="L20" s="44"/>
      <c r="M20" s="45"/>
      <c r="N20" s="43"/>
      <c r="O20" s="44">
        <f>IF(M21="","",M21)</f>
        <v>10</v>
      </c>
      <c r="P20" s="44"/>
      <c r="Q20" s="45">
        <f>IF(K21="","",K21)</f>
        <v>3</v>
      </c>
      <c r="R20" s="43"/>
      <c r="S20" s="44">
        <f>IF(M22="","",M22)</f>
        <v>1</v>
      </c>
      <c r="T20" s="44"/>
      <c r="U20" s="45">
        <f>IF(K22="","",K22)</f>
        <v>1</v>
      </c>
      <c r="V20" s="43"/>
      <c r="W20" s="44">
        <f>IF(M23="","",M23)</f>
        <v>7</v>
      </c>
      <c r="X20" s="44"/>
      <c r="Y20" s="45">
        <f>IF(K23="","",K23)</f>
        <v>5</v>
      </c>
      <c r="Z20" s="43"/>
      <c r="AA20" s="44">
        <f>IF(M24="","",M24)</f>
        <v>0</v>
      </c>
      <c r="AB20" s="44"/>
      <c r="AC20" s="45">
        <f>IF(K24="","",K24)</f>
        <v>10</v>
      </c>
      <c r="AD20" s="43"/>
      <c r="AE20" s="44">
        <f>IF(M25="","",M25)</f>
      </c>
      <c r="AF20" s="44"/>
      <c r="AG20" s="45">
        <f>IF(K25="","",K25)</f>
      </c>
      <c r="AH20" s="43"/>
      <c r="AI20" s="44">
        <f>IF(M26="","",M26)</f>
        <v>2</v>
      </c>
      <c r="AJ20" s="44"/>
      <c r="AK20" s="45">
        <f>IF(K26="","",K26)</f>
        <v>3</v>
      </c>
      <c r="AL20" s="43"/>
      <c r="AM20" s="44">
        <f>IF(M27="","",M27)</f>
      </c>
      <c r="AN20" s="44"/>
      <c r="AO20" s="45">
        <f>IF(K27="","",K27)</f>
      </c>
      <c r="AP20" s="43"/>
      <c r="AQ20" s="44">
        <f>IF(K28="","",K28)</f>
      </c>
      <c r="AR20" s="44"/>
      <c r="AS20" s="45">
        <f>IF(M28="","",M28)</f>
      </c>
      <c r="AT20" s="47">
        <f t="shared" si="25"/>
        <v>3</v>
      </c>
      <c r="AU20" s="37">
        <f t="shared" si="26"/>
        <v>3</v>
      </c>
      <c r="AV20" s="37">
        <f t="shared" si="27"/>
        <v>1</v>
      </c>
      <c r="AW20" s="38">
        <f t="shared" si="28"/>
        <v>6</v>
      </c>
      <c r="AX20" s="39">
        <f t="shared" si="29"/>
        <v>0</v>
      </c>
      <c r="AY20" s="40">
        <f t="shared" si="30"/>
        <v>1</v>
      </c>
      <c r="AZ20" s="41">
        <f t="shared" si="31"/>
        <v>7</v>
      </c>
      <c r="BA20" s="37">
        <f t="shared" si="32"/>
        <v>43</v>
      </c>
      <c r="BB20" s="37">
        <f t="shared" si="33"/>
        <v>35</v>
      </c>
      <c r="BC20" s="37">
        <f t="shared" si="34"/>
        <v>8</v>
      </c>
      <c r="BD20" s="84"/>
      <c r="BF20" s="49">
        <f>BK20+COUNTIF(BK$17:BK19,BK20)</f>
        <v>5</v>
      </c>
      <c r="BG20" s="51" t="str">
        <f t="shared" si="35"/>
        <v>矢切コンドルス</v>
      </c>
      <c r="BH20" s="49">
        <f t="shared" si="36"/>
        <v>7</v>
      </c>
      <c r="BI20" s="49">
        <f t="shared" si="37"/>
        <v>3</v>
      </c>
      <c r="BJ20" s="49">
        <f t="shared" si="38"/>
        <v>7</v>
      </c>
      <c r="BK20" s="49">
        <f t="shared" si="41"/>
        <v>5</v>
      </c>
      <c r="BL20" s="50">
        <f t="shared" si="42"/>
        <v>3</v>
      </c>
      <c r="BM20" s="52" t="str">
        <f t="shared" si="43"/>
        <v>光インパルス</v>
      </c>
      <c r="BN20" s="52">
        <f t="shared" si="44"/>
        <v>10</v>
      </c>
      <c r="BO20" s="52">
        <f t="shared" si="45"/>
        <v>5</v>
      </c>
      <c r="BP20" s="52">
        <f t="shared" si="46"/>
        <v>8</v>
      </c>
      <c r="BQ20" s="62"/>
      <c r="BS20" s="49">
        <f>BV20+COUNTIF(BV$17:BV19,BV20)</f>
        <v>7</v>
      </c>
      <c r="BT20" s="51" t="str">
        <f t="shared" si="39"/>
        <v>矢切コンドルス</v>
      </c>
      <c r="BU20" s="49">
        <f t="shared" si="40"/>
        <v>7</v>
      </c>
      <c r="BV20" s="49">
        <f t="shared" si="47"/>
        <v>5</v>
      </c>
      <c r="BW20" s="50">
        <f t="shared" si="48"/>
        <v>1</v>
      </c>
      <c r="BX20" s="52" t="str">
        <f t="shared" si="49"/>
        <v>光インパルス</v>
      </c>
    </row>
    <row r="21" spans="1:76" ht="19.5" customHeight="1">
      <c r="A21" s="107" t="s">
        <v>81</v>
      </c>
      <c r="B21" s="43"/>
      <c r="C21" s="44">
        <v>7</v>
      </c>
      <c r="D21" s="44"/>
      <c r="E21" s="45">
        <v>0</v>
      </c>
      <c r="F21" s="43"/>
      <c r="G21" s="44">
        <v>3</v>
      </c>
      <c r="H21" s="44"/>
      <c r="I21" s="45">
        <v>7</v>
      </c>
      <c r="J21" s="43"/>
      <c r="K21" s="44">
        <v>3</v>
      </c>
      <c r="L21" s="44"/>
      <c r="M21" s="45">
        <v>10</v>
      </c>
      <c r="N21" s="43"/>
      <c r="O21" s="44"/>
      <c r="P21" s="44"/>
      <c r="Q21" s="45"/>
      <c r="R21" s="43"/>
      <c r="S21" s="44">
        <f>IF(Q22="","",Q22)</f>
        <v>7</v>
      </c>
      <c r="T21" s="44"/>
      <c r="U21" s="45">
        <f>IF(O22="","",O22)</f>
        <v>8</v>
      </c>
      <c r="V21" s="43"/>
      <c r="W21" s="44">
        <f>IF(Q23="","",Q23)</f>
        <v>3</v>
      </c>
      <c r="X21" s="44"/>
      <c r="Y21" s="45">
        <f>IF(O23="","",O23)</f>
        <v>6</v>
      </c>
      <c r="Z21" s="43"/>
      <c r="AA21" s="44">
        <f>IF(Q24="","",Q24)</f>
        <v>0</v>
      </c>
      <c r="AB21" s="44"/>
      <c r="AC21" s="45">
        <f>IF(O24="","",O24)</f>
        <v>10</v>
      </c>
      <c r="AD21" s="43"/>
      <c r="AE21" s="44">
        <f>IF(Q25="","",Q25)</f>
        <v>2</v>
      </c>
      <c r="AF21" s="44"/>
      <c r="AG21" s="45">
        <f>IF(O25="","",O25)</f>
        <v>6</v>
      </c>
      <c r="AH21" s="43"/>
      <c r="AI21" s="44">
        <f>IF(Q26="","",Q26)</f>
        <v>10</v>
      </c>
      <c r="AJ21" s="44"/>
      <c r="AK21" s="45">
        <f>IF(O26="","",O26)</f>
        <v>0</v>
      </c>
      <c r="AL21" s="43"/>
      <c r="AM21" s="44">
        <f>IF(Q27="","",Q27)</f>
      </c>
      <c r="AN21" s="44"/>
      <c r="AO21" s="45">
        <f>IF(O27="","",O27)</f>
      </c>
      <c r="AP21" s="43"/>
      <c r="AQ21" s="44">
        <f>IF(Q28="","",Q28)</f>
      </c>
      <c r="AR21" s="44"/>
      <c r="AS21" s="45">
        <f>IF(O28="","",O28)</f>
      </c>
      <c r="AT21" s="47">
        <f t="shared" si="25"/>
        <v>2</v>
      </c>
      <c r="AU21" s="37">
        <f t="shared" si="26"/>
        <v>6</v>
      </c>
      <c r="AV21" s="37">
        <f t="shared" si="27"/>
        <v>0</v>
      </c>
      <c r="AW21" s="38">
        <f t="shared" si="28"/>
        <v>4</v>
      </c>
      <c r="AX21" s="39">
        <f t="shared" si="29"/>
        <v>0</v>
      </c>
      <c r="AY21" s="40">
        <f t="shared" si="30"/>
        <v>0</v>
      </c>
      <c r="AZ21" s="41">
        <f t="shared" si="31"/>
        <v>4</v>
      </c>
      <c r="BA21" s="37">
        <f t="shared" si="32"/>
        <v>35</v>
      </c>
      <c r="BB21" s="37">
        <f t="shared" si="33"/>
        <v>47</v>
      </c>
      <c r="BC21" s="37">
        <f t="shared" si="34"/>
        <v>-12</v>
      </c>
      <c r="BF21" s="49">
        <f>BK21+COUNTIF(BK$17:BK20,BK21)</f>
        <v>7</v>
      </c>
      <c r="BG21" s="51" t="str">
        <f t="shared" si="35"/>
        <v>松戸中央エンジェルス</v>
      </c>
      <c r="BH21" s="49">
        <f t="shared" si="36"/>
        <v>4</v>
      </c>
      <c r="BI21" s="49">
        <f t="shared" si="37"/>
        <v>2</v>
      </c>
      <c r="BJ21" s="49">
        <f t="shared" si="38"/>
        <v>8</v>
      </c>
      <c r="BK21" s="49">
        <f t="shared" si="41"/>
        <v>7</v>
      </c>
      <c r="BL21" s="50">
        <f t="shared" si="42"/>
        <v>4</v>
      </c>
      <c r="BM21" s="52" t="str">
        <f t="shared" si="43"/>
        <v>光ヶ丘シャークス</v>
      </c>
      <c r="BN21" s="52">
        <f t="shared" si="44"/>
        <v>9</v>
      </c>
      <c r="BO21" s="52">
        <f t="shared" si="45"/>
        <v>4</v>
      </c>
      <c r="BP21" s="52">
        <f t="shared" si="46"/>
        <v>6</v>
      </c>
      <c r="BQ21" s="62"/>
      <c r="BS21" s="49">
        <f>BV21+COUNTIF(BV$17:BV20,BV21)</f>
        <v>1</v>
      </c>
      <c r="BT21" s="51" t="str">
        <f t="shared" si="39"/>
        <v>松戸中央エンジェルス</v>
      </c>
      <c r="BU21" s="49">
        <f t="shared" si="40"/>
        <v>8</v>
      </c>
      <c r="BV21" s="49">
        <f t="shared" si="47"/>
        <v>1</v>
      </c>
      <c r="BW21" s="50">
        <f t="shared" si="48"/>
        <v>1</v>
      </c>
      <c r="BX21" s="52" t="str">
        <f t="shared" si="49"/>
        <v>豊上ジュニアーズ</v>
      </c>
    </row>
    <row r="22" spans="1:76" ht="19.5" customHeight="1">
      <c r="A22" s="107" t="s">
        <v>126</v>
      </c>
      <c r="B22" s="43"/>
      <c r="C22" s="44">
        <v>17</v>
      </c>
      <c r="D22" s="44"/>
      <c r="E22" s="45">
        <v>2</v>
      </c>
      <c r="F22" s="43"/>
      <c r="G22" s="44">
        <v>2</v>
      </c>
      <c r="H22" s="44"/>
      <c r="I22" s="45">
        <v>8</v>
      </c>
      <c r="J22" s="43"/>
      <c r="K22" s="44">
        <v>1</v>
      </c>
      <c r="L22" s="44"/>
      <c r="M22" s="45">
        <v>1</v>
      </c>
      <c r="N22" s="43"/>
      <c r="O22" s="44">
        <v>8</v>
      </c>
      <c r="P22" s="44"/>
      <c r="Q22" s="45">
        <v>7</v>
      </c>
      <c r="R22" s="43"/>
      <c r="S22" s="44"/>
      <c r="T22" s="44"/>
      <c r="U22" s="45"/>
      <c r="V22" s="43"/>
      <c r="W22" s="44">
        <f>IF(U23="","",U23)</f>
        <v>1</v>
      </c>
      <c r="X22" s="44"/>
      <c r="Y22" s="45">
        <f>IF(S23="","",S23)</f>
        <v>2</v>
      </c>
      <c r="Z22" s="43"/>
      <c r="AA22" s="44">
        <f>IF(U24="","",U24)</f>
        <v>0</v>
      </c>
      <c r="AB22" s="44"/>
      <c r="AC22" s="45">
        <f>IF(S24="","",S24)</f>
        <v>11</v>
      </c>
      <c r="AD22" s="43"/>
      <c r="AE22" s="44">
        <f>IF(U25="","",U25)</f>
        <v>2</v>
      </c>
      <c r="AF22" s="44"/>
      <c r="AG22" s="45">
        <f>IF(S25="","",S25)</f>
        <v>4</v>
      </c>
      <c r="AH22" s="43"/>
      <c r="AI22" s="44">
        <f>IF(U26="","",U26)</f>
        <v>16</v>
      </c>
      <c r="AJ22" s="44"/>
      <c r="AK22" s="45">
        <f>IF(S26="","",S26)</f>
        <v>1</v>
      </c>
      <c r="AL22" s="43"/>
      <c r="AM22" s="44">
        <f>IF(U27="","",U27)</f>
      </c>
      <c r="AN22" s="44"/>
      <c r="AO22" s="45">
        <f>IF(S27="","",S27)</f>
      </c>
      <c r="AP22" s="43"/>
      <c r="AQ22" s="44">
        <f>IF(U28="","",U28)</f>
      </c>
      <c r="AR22" s="44"/>
      <c r="AS22" s="45">
        <f>IF(S28="","",S28)</f>
      </c>
      <c r="AT22" s="47">
        <f t="shared" si="25"/>
        <v>3</v>
      </c>
      <c r="AU22" s="37">
        <f t="shared" si="26"/>
        <v>4</v>
      </c>
      <c r="AV22" s="37">
        <f t="shared" si="27"/>
        <v>1</v>
      </c>
      <c r="AW22" s="38">
        <f t="shared" si="28"/>
        <v>6</v>
      </c>
      <c r="AX22" s="39">
        <f t="shared" si="29"/>
        <v>0</v>
      </c>
      <c r="AY22" s="40">
        <f t="shared" si="30"/>
        <v>1</v>
      </c>
      <c r="AZ22" s="41">
        <f t="shared" si="31"/>
        <v>7</v>
      </c>
      <c r="BA22" s="37">
        <f t="shared" si="32"/>
        <v>47</v>
      </c>
      <c r="BB22" s="37">
        <f t="shared" si="33"/>
        <v>36</v>
      </c>
      <c r="BC22" s="37">
        <f t="shared" si="34"/>
        <v>11</v>
      </c>
      <c r="BF22" s="49">
        <f>BK22+COUNTIF(BK$17:BK21,BK22)</f>
        <v>6</v>
      </c>
      <c r="BG22" s="51" t="str">
        <f t="shared" si="35"/>
        <v>花井ヤンキース</v>
      </c>
      <c r="BH22" s="49">
        <f t="shared" si="36"/>
        <v>7</v>
      </c>
      <c r="BI22" s="49">
        <f t="shared" si="37"/>
        <v>3</v>
      </c>
      <c r="BJ22" s="49">
        <f t="shared" si="38"/>
        <v>8</v>
      </c>
      <c r="BK22" s="49">
        <f t="shared" si="41"/>
        <v>5</v>
      </c>
      <c r="BL22" s="50">
        <f t="shared" si="42"/>
        <v>5</v>
      </c>
      <c r="BM22" s="52" t="str">
        <f t="shared" si="43"/>
        <v>矢切コンドルス</v>
      </c>
      <c r="BN22" s="52">
        <f t="shared" si="44"/>
        <v>7</v>
      </c>
      <c r="BO22" s="52">
        <f t="shared" si="45"/>
        <v>3</v>
      </c>
      <c r="BP22" s="52">
        <f t="shared" si="46"/>
        <v>7</v>
      </c>
      <c r="BQ22" s="62"/>
      <c r="BS22" s="49">
        <f>BV22+COUNTIF(BV$17:BV21,BV22)</f>
        <v>2</v>
      </c>
      <c r="BT22" s="51" t="str">
        <f t="shared" si="39"/>
        <v>花井ヤンキース</v>
      </c>
      <c r="BU22" s="49">
        <f t="shared" si="40"/>
        <v>8</v>
      </c>
      <c r="BV22" s="49">
        <f t="shared" si="47"/>
        <v>1</v>
      </c>
      <c r="BW22" s="50">
        <f t="shared" si="48"/>
        <v>5</v>
      </c>
      <c r="BX22" s="52" t="str">
        <f t="shared" si="49"/>
        <v>ヤングスターズ</v>
      </c>
    </row>
    <row r="23" spans="1:76" ht="19.5" customHeight="1">
      <c r="A23" s="107" t="s">
        <v>114</v>
      </c>
      <c r="B23" s="43"/>
      <c r="C23" s="44">
        <v>8</v>
      </c>
      <c r="D23" s="44"/>
      <c r="E23" s="45">
        <v>4</v>
      </c>
      <c r="F23" s="43"/>
      <c r="G23" s="44">
        <v>0</v>
      </c>
      <c r="H23" s="44"/>
      <c r="I23" s="45">
        <v>5</v>
      </c>
      <c r="J23" s="43"/>
      <c r="K23" s="44">
        <v>5</v>
      </c>
      <c r="L23" s="44"/>
      <c r="M23" s="45">
        <v>7</v>
      </c>
      <c r="N23" s="43"/>
      <c r="O23" s="44">
        <v>6</v>
      </c>
      <c r="P23" s="44"/>
      <c r="Q23" s="45">
        <v>3</v>
      </c>
      <c r="R23" s="43"/>
      <c r="S23" s="44">
        <v>2</v>
      </c>
      <c r="T23" s="44"/>
      <c r="U23" s="45">
        <v>1</v>
      </c>
      <c r="V23" s="43"/>
      <c r="W23" s="44"/>
      <c r="X23" s="44"/>
      <c r="Y23" s="45"/>
      <c r="Z23" s="43"/>
      <c r="AA23" s="44">
        <f>IF(Y24="","",Y24)</f>
        <v>3</v>
      </c>
      <c r="AB23" s="44"/>
      <c r="AC23" s="45">
        <f>IF(W24="","",W24)</f>
        <v>7</v>
      </c>
      <c r="AD23" s="43"/>
      <c r="AE23" s="44">
        <f>IF(Y25="","",Y25)</f>
        <v>5</v>
      </c>
      <c r="AF23" s="44"/>
      <c r="AG23" s="45">
        <f>IF(W25="","",W25)</f>
        <v>4</v>
      </c>
      <c r="AH23" s="43"/>
      <c r="AI23" s="44">
        <f>IF(Y26="","",Y26)</f>
        <v>11</v>
      </c>
      <c r="AJ23" s="44"/>
      <c r="AK23" s="45">
        <f>IF(W26="","",W26)</f>
        <v>0</v>
      </c>
      <c r="AL23" s="43"/>
      <c r="AM23" s="44">
        <f>IF(Y27="","",Y27)</f>
      </c>
      <c r="AN23" s="44"/>
      <c r="AO23" s="45">
        <f>IF(W27="","",W27)</f>
      </c>
      <c r="AP23" s="43"/>
      <c r="AQ23" s="44">
        <f>IF(Y28="","",Y28)</f>
      </c>
      <c r="AR23" s="44"/>
      <c r="AS23" s="45">
        <f>IF(W28="","",W28)</f>
      </c>
      <c r="AT23" s="47">
        <f t="shared" si="25"/>
        <v>5</v>
      </c>
      <c r="AU23" s="37">
        <f t="shared" si="26"/>
        <v>3</v>
      </c>
      <c r="AV23" s="37">
        <f t="shared" si="27"/>
        <v>0</v>
      </c>
      <c r="AW23" s="38">
        <f t="shared" si="28"/>
        <v>10</v>
      </c>
      <c r="AX23" s="39">
        <f t="shared" si="29"/>
        <v>0</v>
      </c>
      <c r="AY23" s="40">
        <f t="shared" si="30"/>
        <v>0</v>
      </c>
      <c r="AZ23" s="41">
        <f t="shared" si="31"/>
        <v>10</v>
      </c>
      <c r="BA23" s="37">
        <f t="shared" si="32"/>
        <v>40</v>
      </c>
      <c r="BB23" s="37">
        <f t="shared" si="33"/>
        <v>31</v>
      </c>
      <c r="BC23" s="37">
        <f t="shared" si="34"/>
        <v>9</v>
      </c>
      <c r="BF23" s="49">
        <f>BK23+COUNTIF(BK$17:BK22,BK23)</f>
        <v>3</v>
      </c>
      <c r="BG23" s="51" t="str">
        <f t="shared" si="35"/>
        <v>光インパルス</v>
      </c>
      <c r="BH23" s="49">
        <f t="shared" si="36"/>
        <v>10</v>
      </c>
      <c r="BI23" s="49">
        <f t="shared" si="37"/>
        <v>5</v>
      </c>
      <c r="BJ23" s="49">
        <f t="shared" si="38"/>
        <v>8</v>
      </c>
      <c r="BK23" s="49">
        <f t="shared" si="41"/>
        <v>3</v>
      </c>
      <c r="BL23" s="50">
        <f t="shared" si="42"/>
        <v>5</v>
      </c>
      <c r="BM23" s="52" t="str">
        <f t="shared" si="43"/>
        <v>花井ヤンキース</v>
      </c>
      <c r="BN23" s="52">
        <f t="shared" si="44"/>
        <v>7</v>
      </c>
      <c r="BO23" s="52">
        <f t="shared" si="45"/>
        <v>3</v>
      </c>
      <c r="BP23" s="52">
        <f t="shared" si="46"/>
        <v>8</v>
      </c>
      <c r="BQ23" s="62"/>
      <c r="BS23" s="49">
        <f>BV23+COUNTIF(BV$17:BV22,BV23)</f>
        <v>3</v>
      </c>
      <c r="BT23" s="51" t="str">
        <f t="shared" si="39"/>
        <v>光インパルス</v>
      </c>
      <c r="BU23" s="49">
        <f t="shared" si="40"/>
        <v>8</v>
      </c>
      <c r="BV23" s="49">
        <f t="shared" si="47"/>
        <v>1</v>
      </c>
      <c r="BW23" s="50">
        <f t="shared" si="48"/>
        <v>5</v>
      </c>
      <c r="BX23" s="52" t="str">
        <f t="shared" si="49"/>
        <v>串崎スワローズ</v>
      </c>
    </row>
    <row r="24" spans="1:76" ht="19.5" customHeight="1">
      <c r="A24" s="107" t="s">
        <v>127</v>
      </c>
      <c r="B24" s="43"/>
      <c r="C24" s="44">
        <v>24</v>
      </c>
      <c r="D24" s="44"/>
      <c r="E24" s="45">
        <v>0</v>
      </c>
      <c r="F24" s="43"/>
      <c r="G24" s="44">
        <v>0</v>
      </c>
      <c r="H24" s="44"/>
      <c r="I24" s="45">
        <v>1</v>
      </c>
      <c r="J24" s="43"/>
      <c r="K24" s="44">
        <v>10</v>
      </c>
      <c r="L24" s="44"/>
      <c r="M24" s="45">
        <v>0</v>
      </c>
      <c r="N24" s="43"/>
      <c r="O24" s="44">
        <v>10</v>
      </c>
      <c r="P24" s="44"/>
      <c r="Q24" s="45">
        <v>0</v>
      </c>
      <c r="R24" s="43"/>
      <c r="S24" s="44">
        <v>11</v>
      </c>
      <c r="T24" s="44"/>
      <c r="U24" s="45">
        <v>0</v>
      </c>
      <c r="V24" s="43"/>
      <c r="W24" s="44">
        <v>7</v>
      </c>
      <c r="X24" s="44"/>
      <c r="Y24" s="45">
        <v>3</v>
      </c>
      <c r="Z24" s="43"/>
      <c r="AA24" s="44"/>
      <c r="AB24" s="44"/>
      <c r="AC24" s="45"/>
      <c r="AD24" s="43"/>
      <c r="AE24" s="44">
        <f>IF(AC25="","",AC25)</f>
        <v>6</v>
      </c>
      <c r="AF24" s="44"/>
      <c r="AG24" s="45">
        <f>IF(AA25="","",AA25)</f>
        <v>7</v>
      </c>
      <c r="AH24" s="43"/>
      <c r="AI24" s="44">
        <f>IF(AC26="","",AC26)</f>
        <v>20</v>
      </c>
      <c r="AJ24" s="44"/>
      <c r="AK24" s="45">
        <f>IF(AA26="","",AA26)</f>
        <v>0</v>
      </c>
      <c r="AL24" s="43"/>
      <c r="AM24" s="44">
        <f>IF(AC27="","",AC27)</f>
      </c>
      <c r="AN24" s="44"/>
      <c r="AO24" s="45">
        <f>IF(AA27="","",AA27)</f>
      </c>
      <c r="AP24" s="43"/>
      <c r="AQ24" s="44">
        <f>IF(AC28="","",AC28)</f>
      </c>
      <c r="AR24" s="44"/>
      <c r="AS24" s="45">
        <f>IF(AA28="","",AA28)</f>
      </c>
      <c r="AT24" s="47">
        <f t="shared" si="25"/>
        <v>6</v>
      </c>
      <c r="AU24" s="37">
        <f t="shared" si="26"/>
        <v>2</v>
      </c>
      <c r="AV24" s="37">
        <f t="shared" si="27"/>
        <v>0</v>
      </c>
      <c r="AW24" s="38">
        <f t="shared" si="28"/>
        <v>12</v>
      </c>
      <c r="AX24" s="39">
        <f t="shared" si="29"/>
        <v>0</v>
      </c>
      <c r="AY24" s="40">
        <f t="shared" si="30"/>
        <v>0</v>
      </c>
      <c r="AZ24" s="41">
        <f t="shared" si="31"/>
        <v>12</v>
      </c>
      <c r="BA24" s="37">
        <f t="shared" si="32"/>
        <v>88</v>
      </c>
      <c r="BB24" s="37">
        <f t="shared" si="33"/>
        <v>11</v>
      </c>
      <c r="BC24" s="37">
        <f t="shared" si="34"/>
        <v>77</v>
      </c>
      <c r="BF24" s="49">
        <f>BK24+COUNTIF(BK$17:BK23,BK24)</f>
        <v>2</v>
      </c>
      <c r="BG24" s="51" t="str">
        <f t="shared" si="35"/>
        <v>豊上ジュニアーズ</v>
      </c>
      <c r="BH24" s="49">
        <f t="shared" si="36"/>
        <v>12</v>
      </c>
      <c r="BI24" s="49">
        <f t="shared" si="37"/>
        <v>6</v>
      </c>
      <c r="BJ24" s="49">
        <f t="shared" si="38"/>
        <v>8</v>
      </c>
      <c r="BK24" s="49">
        <f t="shared" si="41"/>
        <v>2</v>
      </c>
      <c r="BL24" s="50">
        <f t="shared" si="42"/>
        <v>7</v>
      </c>
      <c r="BM24" s="52" t="str">
        <f t="shared" si="43"/>
        <v>松戸中央エンジェルス</v>
      </c>
      <c r="BN24" s="52">
        <f t="shared" si="44"/>
        <v>4</v>
      </c>
      <c r="BO24" s="52">
        <f t="shared" si="45"/>
        <v>2</v>
      </c>
      <c r="BP24" s="52">
        <f t="shared" si="46"/>
        <v>8</v>
      </c>
      <c r="BQ24" s="62"/>
      <c r="BS24" s="49">
        <f>BV24+COUNTIF(BV$17:BV23,BV24)</f>
        <v>4</v>
      </c>
      <c r="BT24" s="51" t="str">
        <f t="shared" si="39"/>
        <v>豊上ジュニアーズ</v>
      </c>
      <c r="BU24" s="49">
        <f t="shared" si="40"/>
        <v>8</v>
      </c>
      <c r="BV24" s="49">
        <f t="shared" si="47"/>
        <v>1</v>
      </c>
      <c r="BW24" s="50">
        <f t="shared" si="48"/>
        <v>5</v>
      </c>
      <c r="BX24" s="52" t="str">
        <f t="shared" si="49"/>
        <v>矢切コンドルス</v>
      </c>
    </row>
    <row r="25" spans="1:76" ht="19.5" customHeight="1">
      <c r="A25" s="107" t="s">
        <v>85</v>
      </c>
      <c r="B25" s="43"/>
      <c r="C25" s="44">
        <v>23</v>
      </c>
      <c r="D25" s="44"/>
      <c r="E25" s="45">
        <v>3</v>
      </c>
      <c r="F25" s="43"/>
      <c r="G25" s="44">
        <v>4</v>
      </c>
      <c r="H25" s="44"/>
      <c r="I25" s="45">
        <v>4</v>
      </c>
      <c r="J25" s="43"/>
      <c r="K25" s="44"/>
      <c r="L25" s="44"/>
      <c r="M25" s="45"/>
      <c r="N25" s="43"/>
      <c r="O25" s="44">
        <v>6</v>
      </c>
      <c r="P25" s="44"/>
      <c r="Q25" s="45">
        <v>2</v>
      </c>
      <c r="R25" s="43"/>
      <c r="S25" s="44">
        <v>4</v>
      </c>
      <c r="T25" s="44"/>
      <c r="U25" s="45">
        <v>2</v>
      </c>
      <c r="V25" s="43"/>
      <c r="W25" s="44">
        <v>4</v>
      </c>
      <c r="X25" s="44"/>
      <c r="Y25" s="45">
        <v>5</v>
      </c>
      <c r="Z25" s="43"/>
      <c r="AA25" s="44">
        <v>7</v>
      </c>
      <c r="AB25" s="44"/>
      <c r="AC25" s="45">
        <v>6</v>
      </c>
      <c r="AD25" s="43"/>
      <c r="AE25" s="44"/>
      <c r="AF25" s="44"/>
      <c r="AG25" s="45"/>
      <c r="AH25" s="43"/>
      <c r="AI25" s="44">
        <f>IF(AG26="","",AG26)</f>
      </c>
      <c r="AJ25" s="44"/>
      <c r="AK25" s="45">
        <f>IF(AE26="","",AE26)</f>
      </c>
      <c r="AL25" s="43"/>
      <c r="AM25" s="44">
        <f>IF(AG27="","",AG27)</f>
      </c>
      <c r="AN25" s="44"/>
      <c r="AO25" s="45">
        <f>IF(AE27="","",AE27)</f>
      </c>
      <c r="AP25" s="43"/>
      <c r="AQ25" s="44">
        <f>IF(AG28="","",AG28)</f>
      </c>
      <c r="AR25" s="44"/>
      <c r="AS25" s="45">
        <f>IF(AE28="","",AE28)</f>
      </c>
      <c r="AT25" s="47">
        <f t="shared" si="25"/>
        <v>4</v>
      </c>
      <c r="AU25" s="37">
        <f t="shared" si="26"/>
        <v>1</v>
      </c>
      <c r="AV25" s="37">
        <f t="shared" si="27"/>
        <v>1</v>
      </c>
      <c r="AW25" s="38">
        <f t="shared" si="28"/>
        <v>8</v>
      </c>
      <c r="AX25" s="39">
        <f t="shared" si="29"/>
        <v>0</v>
      </c>
      <c r="AY25" s="40">
        <f t="shared" si="30"/>
        <v>1</v>
      </c>
      <c r="AZ25" s="41">
        <f t="shared" si="31"/>
        <v>9</v>
      </c>
      <c r="BA25" s="37">
        <f t="shared" si="32"/>
        <v>48</v>
      </c>
      <c r="BB25" s="37">
        <f t="shared" si="33"/>
        <v>22</v>
      </c>
      <c r="BC25" s="37">
        <f t="shared" si="34"/>
        <v>26</v>
      </c>
      <c r="BF25" s="49">
        <f>BK25+COUNTIF(BK$17:BK24,BK25)</f>
        <v>4</v>
      </c>
      <c r="BG25" s="51" t="str">
        <f t="shared" si="35"/>
        <v>光ヶ丘シャークス</v>
      </c>
      <c r="BH25" s="49">
        <f t="shared" si="36"/>
        <v>9</v>
      </c>
      <c r="BI25" s="49">
        <f t="shared" si="37"/>
        <v>4</v>
      </c>
      <c r="BJ25" s="49">
        <f t="shared" si="38"/>
        <v>6</v>
      </c>
      <c r="BK25" s="49">
        <f t="shared" si="41"/>
        <v>4</v>
      </c>
      <c r="BL25" s="50">
        <f t="shared" si="42"/>
        <v>7</v>
      </c>
      <c r="BM25" s="52" t="str">
        <f t="shared" si="43"/>
        <v>リトルキング</v>
      </c>
      <c r="BN25" s="52">
        <f t="shared" si="44"/>
        <v>4</v>
      </c>
      <c r="BO25" s="52">
        <f t="shared" si="45"/>
        <v>2</v>
      </c>
      <c r="BP25" s="52">
        <f t="shared" si="46"/>
        <v>7</v>
      </c>
      <c r="BQ25" s="62"/>
      <c r="BS25" s="49">
        <f>BV25+COUNTIF(BV$17:BV24,BV25)</f>
        <v>9</v>
      </c>
      <c r="BT25" s="51" t="str">
        <f t="shared" si="39"/>
        <v>光ヶ丘シャークス</v>
      </c>
      <c r="BU25" s="49">
        <f t="shared" si="40"/>
        <v>6</v>
      </c>
      <c r="BV25" s="49">
        <f t="shared" si="47"/>
        <v>9</v>
      </c>
      <c r="BW25" s="50">
        <f t="shared" si="48"/>
        <v>5</v>
      </c>
      <c r="BX25" s="52" t="str">
        <f t="shared" si="49"/>
        <v>リトルキング</v>
      </c>
    </row>
    <row r="26" spans="1:76" ht="19.5" customHeight="1">
      <c r="A26" s="107" t="s">
        <v>128</v>
      </c>
      <c r="B26" s="43"/>
      <c r="C26" s="44">
        <v>14</v>
      </c>
      <c r="D26" s="44"/>
      <c r="E26" s="45">
        <v>2</v>
      </c>
      <c r="F26" s="43"/>
      <c r="G26" s="44">
        <v>2</v>
      </c>
      <c r="H26" s="44"/>
      <c r="I26" s="45">
        <v>9</v>
      </c>
      <c r="J26" s="43"/>
      <c r="K26" s="44">
        <v>3</v>
      </c>
      <c r="L26" s="44"/>
      <c r="M26" s="45">
        <v>2</v>
      </c>
      <c r="N26" s="43"/>
      <c r="O26" s="44">
        <v>0</v>
      </c>
      <c r="P26" s="44"/>
      <c r="Q26" s="45">
        <v>10</v>
      </c>
      <c r="R26" s="43"/>
      <c r="S26" s="44">
        <v>1</v>
      </c>
      <c r="T26" s="44"/>
      <c r="U26" s="45">
        <v>16</v>
      </c>
      <c r="V26" s="43"/>
      <c r="W26" s="44">
        <v>0</v>
      </c>
      <c r="X26" s="44"/>
      <c r="Y26" s="45">
        <v>11</v>
      </c>
      <c r="Z26" s="43"/>
      <c r="AA26" s="44">
        <v>0</v>
      </c>
      <c r="AB26" s="44"/>
      <c r="AC26" s="45">
        <v>20</v>
      </c>
      <c r="AD26" s="43"/>
      <c r="AE26" s="44"/>
      <c r="AF26" s="44"/>
      <c r="AG26" s="45"/>
      <c r="AH26" s="44"/>
      <c r="AI26" s="44"/>
      <c r="AJ26" s="44"/>
      <c r="AK26" s="44"/>
      <c r="AL26" s="43"/>
      <c r="AM26" s="44">
        <f>IF(AK27="","",AK27)</f>
      </c>
      <c r="AN26" s="44"/>
      <c r="AO26" s="45">
        <f>IF(AI27="","",AI27)</f>
      </c>
      <c r="AP26" s="43"/>
      <c r="AQ26" s="44">
        <f>IF(AK28="","",AK28)</f>
      </c>
      <c r="AR26" s="44"/>
      <c r="AS26" s="45">
        <f>IF(AI28="","",AI28)</f>
      </c>
      <c r="AT26" s="47">
        <f t="shared" si="25"/>
        <v>2</v>
      </c>
      <c r="AU26" s="37">
        <f t="shared" si="26"/>
        <v>5</v>
      </c>
      <c r="AV26" s="37">
        <f t="shared" si="27"/>
        <v>0</v>
      </c>
      <c r="AW26" s="38">
        <f t="shared" si="28"/>
        <v>4</v>
      </c>
      <c r="AX26" s="39">
        <f t="shared" si="29"/>
        <v>0</v>
      </c>
      <c r="AY26" s="40">
        <f t="shared" si="30"/>
        <v>0</v>
      </c>
      <c r="AZ26" s="41">
        <f t="shared" si="31"/>
        <v>4</v>
      </c>
      <c r="BA26" s="37">
        <f t="shared" si="32"/>
        <v>20</v>
      </c>
      <c r="BB26" s="37">
        <f t="shared" si="33"/>
        <v>70</v>
      </c>
      <c r="BC26" s="37">
        <f t="shared" si="34"/>
        <v>-50</v>
      </c>
      <c r="BF26" s="49">
        <f>BK26+COUNTIF(BK$17:BK25,BK26)</f>
        <v>8</v>
      </c>
      <c r="BG26" s="51" t="str">
        <f t="shared" si="35"/>
        <v>リトルキング</v>
      </c>
      <c r="BH26" s="49">
        <f t="shared" si="36"/>
        <v>4</v>
      </c>
      <c r="BI26" s="49">
        <f t="shared" si="37"/>
        <v>2</v>
      </c>
      <c r="BJ26" s="49">
        <f t="shared" si="38"/>
        <v>7</v>
      </c>
      <c r="BK26" s="49">
        <f t="shared" si="41"/>
        <v>7</v>
      </c>
      <c r="BL26" s="50">
        <f t="shared" si="42"/>
        <v>9</v>
      </c>
      <c r="BM26" s="52" t="str">
        <f t="shared" si="43"/>
        <v>ヤングスターズ</v>
      </c>
      <c r="BN26" s="52">
        <f t="shared" si="44"/>
        <v>0</v>
      </c>
      <c r="BO26" s="52">
        <f t="shared" si="45"/>
        <v>0</v>
      </c>
      <c r="BP26" s="52">
        <f t="shared" si="46"/>
        <v>7</v>
      </c>
      <c r="BQ26" s="62"/>
      <c r="BS26" s="49">
        <f>BV26+COUNTIF(BV$17:BV25,BV26)</f>
        <v>8</v>
      </c>
      <c r="BT26" s="51" t="str">
        <f t="shared" si="39"/>
        <v>リトルキング</v>
      </c>
      <c r="BU26" s="49">
        <f t="shared" si="40"/>
        <v>7</v>
      </c>
      <c r="BV26" s="49">
        <f t="shared" si="47"/>
        <v>5</v>
      </c>
      <c r="BW26" s="50">
        <f t="shared" si="48"/>
        <v>9</v>
      </c>
      <c r="BX26" s="52" t="str">
        <f t="shared" si="49"/>
        <v>光ヶ丘シャークス</v>
      </c>
    </row>
    <row r="27" spans="1:76" ht="19.5" customHeight="1">
      <c r="A27" s="107"/>
      <c r="B27" s="43"/>
      <c r="C27" s="44"/>
      <c r="D27" s="44"/>
      <c r="E27" s="45"/>
      <c r="F27" s="43"/>
      <c r="G27" s="44"/>
      <c r="H27" s="44"/>
      <c r="I27" s="45"/>
      <c r="J27" s="43"/>
      <c r="K27" s="44"/>
      <c r="L27" s="44"/>
      <c r="M27" s="45"/>
      <c r="N27" s="43"/>
      <c r="O27" s="44"/>
      <c r="P27" s="44"/>
      <c r="Q27" s="45"/>
      <c r="R27" s="43"/>
      <c r="S27" s="44"/>
      <c r="T27" s="44"/>
      <c r="U27" s="45"/>
      <c r="V27" s="43"/>
      <c r="W27" s="44"/>
      <c r="X27" s="44"/>
      <c r="Y27" s="45"/>
      <c r="Z27" s="43"/>
      <c r="AA27" s="44"/>
      <c r="AB27" s="44"/>
      <c r="AC27" s="45"/>
      <c r="AD27" s="43"/>
      <c r="AE27" s="44"/>
      <c r="AF27" s="44"/>
      <c r="AG27" s="45"/>
      <c r="AH27" s="44"/>
      <c r="AI27" s="44"/>
      <c r="AJ27" s="44"/>
      <c r="AK27" s="44"/>
      <c r="AL27" s="43"/>
      <c r="AM27" s="44"/>
      <c r="AN27" s="44"/>
      <c r="AO27" s="45"/>
      <c r="AP27" s="43"/>
      <c r="AQ27" s="44">
        <f>IF(AO28="","",AO28)</f>
      </c>
      <c r="AR27" s="44"/>
      <c r="AS27" s="45">
        <f>IF(AM28="","",AM28)</f>
      </c>
      <c r="AT27" s="47"/>
      <c r="AU27" s="37"/>
      <c r="AV27" s="37"/>
      <c r="AW27" s="38"/>
      <c r="AX27" s="39"/>
      <c r="AY27" s="40"/>
      <c r="AZ27" s="41"/>
      <c r="BA27" s="37"/>
      <c r="BB27" s="37"/>
      <c r="BC27" s="37"/>
      <c r="BF27" s="49">
        <f>BK27+COUNTIF(BK$17:BK26,BK27)</f>
        <v>0</v>
      </c>
      <c r="BG27" s="51"/>
      <c r="BH27" s="49"/>
      <c r="BI27" s="49"/>
      <c r="BJ27" s="49"/>
      <c r="BK27" s="49"/>
      <c r="BL27" s="50"/>
      <c r="BM27" s="52"/>
      <c r="BN27" s="52"/>
      <c r="BO27" s="52"/>
      <c r="BP27" s="52"/>
      <c r="BQ27" s="62"/>
      <c r="BS27" s="49"/>
      <c r="BT27" s="51"/>
      <c r="BU27" s="49"/>
      <c r="BV27" s="49"/>
      <c r="BW27" s="50"/>
      <c r="BX27" s="52"/>
    </row>
    <row r="28" spans="1:76" ht="19.5" customHeight="1">
      <c r="A28" s="107"/>
      <c r="B28" s="43"/>
      <c r="C28" s="44"/>
      <c r="D28" s="44"/>
      <c r="E28" s="45"/>
      <c r="F28" s="43"/>
      <c r="G28" s="44"/>
      <c r="H28" s="44"/>
      <c r="I28" s="45"/>
      <c r="J28" s="43"/>
      <c r="K28" s="44"/>
      <c r="L28" s="44"/>
      <c r="M28" s="45"/>
      <c r="N28" s="43"/>
      <c r="O28" s="44"/>
      <c r="P28" s="44"/>
      <c r="Q28" s="45"/>
      <c r="R28" s="43"/>
      <c r="S28" s="44"/>
      <c r="T28" s="44"/>
      <c r="U28" s="45"/>
      <c r="V28" s="43"/>
      <c r="W28" s="44"/>
      <c r="X28" s="44"/>
      <c r="Y28" s="45"/>
      <c r="Z28" s="43"/>
      <c r="AA28" s="44"/>
      <c r="AB28" s="44"/>
      <c r="AC28" s="45"/>
      <c r="AD28" s="43"/>
      <c r="AE28" s="44"/>
      <c r="AF28" s="44"/>
      <c r="AG28" s="45"/>
      <c r="AH28" s="44"/>
      <c r="AI28" s="44"/>
      <c r="AJ28" s="44"/>
      <c r="AK28" s="44"/>
      <c r="AL28" s="43"/>
      <c r="AM28" s="44"/>
      <c r="AN28" s="44"/>
      <c r="AO28" s="45"/>
      <c r="AP28" s="43"/>
      <c r="AQ28" s="44"/>
      <c r="AR28" s="44"/>
      <c r="AS28" s="45"/>
      <c r="AT28" s="47"/>
      <c r="AU28" s="37"/>
      <c r="AV28" s="37"/>
      <c r="AW28" s="38"/>
      <c r="AX28" s="39"/>
      <c r="AY28" s="40"/>
      <c r="AZ28" s="41"/>
      <c r="BA28" s="37"/>
      <c r="BB28" s="37"/>
      <c r="BC28" s="37"/>
      <c r="BF28" s="49">
        <f>BK28+COUNTIF(BK$17:BK27,BK28)</f>
        <v>0</v>
      </c>
      <c r="BG28" s="51"/>
      <c r="BH28" s="49"/>
      <c r="BI28" s="49"/>
      <c r="BJ28" s="49"/>
      <c r="BK28" s="49"/>
      <c r="BL28" s="50"/>
      <c r="BM28" s="52"/>
      <c r="BN28" s="52"/>
      <c r="BO28" s="52"/>
      <c r="BP28" s="52"/>
      <c r="BQ28" s="62"/>
      <c r="BS28" s="49"/>
      <c r="BT28" s="51"/>
      <c r="BU28" s="49"/>
      <c r="BV28" s="49"/>
      <c r="BW28" s="50"/>
      <c r="BX28" s="52"/>
    </row>
    <row r="29" spans="1:74" ht="19.5" customHeight="1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9"/>
      <c r="AO29" s="1"/>
      <c r="AP29" s="1"/>
      <c r="AQ29" s="1"/>
      <c r="AR29" s="1"/>
      <c r="AS29" s="1"/>
      <c r="AT29" s="7">
        <f>SUM(AT18:AT28)</f>
        <v>31</v>
      </c>
      <c r="AU29" s="7">
        <f>SUM(AU18:AU28)</f>
        <v>31</v>
      </c>
      <c r="AV29" s="7">
        <f>SUM(AV18:AV28)</f>
        <v>4</v>
      </c>
      <c r="AW29" s="7"/>
      <c r="AX29" s="7"/>
      <c r="AY29" s="1"/>
      <c r="AZ29" s="1"/>
      <c r="BA29" s="1">
        <f>SUM(BA18:BA28)</f>
        <v>379</v>
      </c>
      <c r="BB29" s="1">
        <f>SUM(BB18:BB28)</f>
        <v>379</v>
      </c>
      <c r="BC29" s="1">
        <f>SUM(BC18:BC28)</f>
        <v>0</v>
      </c>
      <c r="BU29" s="108">
        <f>SUM(BU18:BU28)/2</f>
        <v>33</v>
      </c>
      <c r="BV29" s="3">
        <f>9*8/2</f>
        <v>36</v>
      </c>
    </row>
    <row r="30" spans="1:55" ht="19.5" customHeight="1">
      <c r="A30" s="105" t="s">
        <v>73</v>
      </c>
      <c r="B30" s="90" t="s">
        <v>71</v>
      </c>
      <c r="C30" s="58"/>
      <c r="D30" s="58"/>
      <c r="E30" s="58"/>
      <c r="F30" s="58"/>
      <c r="G30" s="158" t="str">
        <f>"１日"&amp;ROUND((BV43-BU43)/'戦績'!N42,1)&amp;"試合"</f>
        <v>１日1試合</v>
      </c>
      <c r="H30" s="158"/>
      <c r="I30" s="158"/>
      <c r="J30" s="158"/>
      <c r="K30" s="153" t="s">
        <v>53</v>
      </c>
      <c r="L30" s="153"/>
      <c r="M30" s="153"/>
      <c r="N30" s="153"/>
      <c r="O30" s="154" t="str">
        <f>IF(C71&gt;C70,+BM32,"")</f>
        <v>柏ボーイング</v>
      </c>
      <c r="P30" s="154"/>
      <c r="Q30" s="154"/>
      <c r="R30" s="154"/>
      <c r="S30" s="154"/>
      <c r="T30" s="59"/>
      <c r="U30" s="153" t="s">
        <v>54</v>
      </c>
      <c r="V30" s="153"/>
      <c r="W30" s="153"/>
      <c r="X30" s="153"/>
      <c r="Y30" s="154" t="str">
        <f>IF(C71&gt;C70,+BM33,"")</f>
        <v>常盤平ボーイズ</v>
      </c>
      <c r="Z30" s="154"/>
      <c r="AA30" s="154"/>
      <c r="AB30" s="154"/>
      <c r="AC30" s="154"/>
      <c r="AD30" s="154"/>
      <c r="AE30" s="1"/>
      <c r="AF30" s="1"/>
      <c r="AG30" s="1"/>
      <c r="AH30" s="1"/>
      <c r="AI30" s="1"/>
      <c r="AJ30" s="1"/>
      <c r="AK30" s="1"/>
      <c r="AL30" s="1"/>
      <c r="AM30" s="1"/>
      <c r="AN30" s="61" t="s">
        <v>55</v>
      </c>
      <c r="AO30" s="1"/>
      <c r="AP30" s="1"/>
      <c r="AQ30" s="1"/>
      <c r="AR30" s="151">
        <f>+BU43/(MAX(BF32:BF41)*(MAX(BF32:BF41)-1)/2)</f>
        <v>0.9166666666666666</v>
      </c>
      <c r="AS30" s="151"/>
      <c r="AT30" s="67">
        <f>IF(AT29=AU29,"","計算間違い")</f>
      </c>
      <c r="AU30" s="1"/>
      <c r="AV30" s="1"/>
      <c r="AW30" s="1" t="s">
        <v>56</v>
      </c>
      <c r="AX30" s="1" t="s">
        <v>57</v>
      </c>
      <c r="AY30" s="1" t="s">
        <v>58</v>
      </c>
      <c r="AZ30" s="1"/>
      <c r="BA30" s="1"/>
      <c r="BB30" s="1"/>
      <c r="BC30" s="1"/>
    </row>
    <row r="31" spans="1:73" ht="19.5" customHeight="1">
      <c r="A31" s="5"/>
      <c r="B31" s="155" t="str">
        <f>+A32</f>
        <v>常盤平ボーイズ</v>
      </c>
      <c r="C31" s="156"/>
      <c r="D31" s="156"/>
      <c r="E31" s="157"/>
      <c r="F31" s="155" t="str">
        <f>+A33</f>
        <v>にしくぼフェニックス</v>
      </c>
      <c r="G31" s="156"/>
      <c r="H31" s="156"/>
      <c r="I31" s="157"/>
      <c r="J31" s="155" t="str">
        <f>+A34</f>
        <v>セントラルパークス</v>
      </c>
      <c r="K31" s="156"/>
      <c r="L31" s="156"/>
      <c r="M31" s="157"/>
      <c r="N31" s="155" t="str">
        <f>+A35</f>
        <v>大橋みどりファイターズ</v>
      </c>
      <c r="O31" s="156"/>
      <c r="P31" s="156"/>
      <c r="Q31" s="157"/>
      <c r="R31" s="155" t="str">
        <f>+A36</f>
        <v>球　人　ズ</v>
      </c>
      <c r="S31" s="156"/>
      <c r="T31" s="156"/>
      <c r="U31" s="157"/>
      <c r="V31" s="155" t="str">
        <f>+A37</f>
        <v>柏ドリームス</v>
      </c>
      <c r="W31" s="156"/>
      <c r="X31" s="156"/>
      <c r="Y31" s="157"/>
      <c r="Z31" s="155" t="str">
        <f>+A38</f>
        <v>柏ボーイング</v>
      </c>
      <c r="AA31" s="156"/>
      <c r="AB31" s="156"/>
      <c r="AC31" s="157"/>
      <c r="AD31" s="155" t="str">
        <f>+A39</f>
        <v>リトルイーグルス</v>
      </c>
      <c r="AE31" s="156"/>
      <c r="AF31" s="156"/>
      <c r="AG31" s="157"/>
      <c r="AH31" s="155" t="str">
        <f>+A40</f>
        <v>布佐スパイダース</v>
      </c>
      <c r="AI31" s="156"/>
      <c r="AJ31" s="156"/>
      <c r="AK31" s="157"/>
      <c r="AL31" s="155">
        <f>+A41</f>
        <v>0</v>
      </c>
      <c r="AM31" s="156"/>
      <c r="AN31" s="156"/>
      <c r="AO31" s="157"/>
      <c r="AP31" s="152"/>
      <c r="AQ31" s="152"/>
      <c r="AR31" s="152"/>
      <c r="AS31" s="152"/>
      <c r="AT31" s="32" t="s">
        <v>7</v>
      </c>
      <c r="AU31" s="32" t="s">
        <v>8</v>
      </c>
      <c r="AV31" s="32" t="s">
        <v>9</v>
      </c>
      <c r="AW31" s="33" t="s">
        <v>59</v>
      </c>
      <c r="AX31" s="34" t="s">
        <v>60</v>
      </c>
      <c r="AY31" s="35" t="s">
        <v>61</v>
      </c>
      <c r="AZ31" s="36" t="s">
        <v>62</v>
      </c>
      <c r="BA31" s="32" t="s">
        <v>11</v>
      </c>
      <c r="BB31" s="32" t="s">
        <v>12</v>
      </c>
      <c r="BC31" s="32" t="s">
        <v>13</v>
      </c>
      <c r="BF31" s="48"/>
      <c r="BG31" s="48" t="s">
        <v>63</v>
      </c>
      <c r="BH31" s="48" t="s">
        <v>64</v>
      </c>
      <c r="BI31" s="48"/>
      <c r="BJ31" s="48"/>
      <c r="BK31" s="48"/>
      <c r="BL31" s="48"/>
      <c r="BT31" s="3" t="s">
        <v>63</v>
      </c>
      <c r="BU31" s="3" t="s">
        <v>66</v>
      </c>
    </row>
    <row r="32" spans="1:76" ht="19.5" customHeight="1">
      <c r="A32" s="106" t="s">
        <v>89</v>
      </c>
      <c r="B32" s="43"/>
      <c r="C32" s="44"/>
      <c r="D32" s="44"/>
      <c r="E32" s="45"/>
      <c r="F32" s="43"/>
      <c r="G32" s="44">
        <f>IF(E33="","",E33)</f>
        <v>20</v>
      </c>
      <c r="H32" s="44"/>
      <c r="I32" s="45">
        <f>IF(C33="","",C33)</f>
        <v>0</v>
      </c>
      <c r="J32" s="43"/>
      <c r="K32" s="44">
        <f>IF(E34="","",E34)</f>
        <v>8</v>
      </c>
      <c r="L32" s="44"/>
      <c r="M32" s="45">
        <f>IF(C34="","",C34)</f>
        <v>5</v>
      </c>
      <c r="N32" s="43"/>
      <c r="O32" s="44">
        <f>IF(E35="","",E35)</f>
        <v>3</v>
      </c>
      <c r="P32" s="44"/>
      <c r="Q32" s="45">
        <f>IF(C35="","",C35)</f>
        <v>4</v>
      </c>
      <c r="R32" s="43"/>
      <c r="S32" s="44">
        <f>IF(E36="","",E36)</f>
        <v>12</v>
      </c>
      <c r="T32" s="44"/>
      <c r="U32" s="45">
        <f>IF(C36="","",C36)</f>
        <v>0</v>
      </c>
      <c r="V32" s="43"/>
      <c r="W32" s="44">
        <f>IF(E37="","",E37)</f>
        <v>17</v>
      </c>
      <c r="X32" s="44"/>
      <c r="Y32" s="45">
        <f>IF(C37="","",C37)</f>
        <v>2</v>
      </c>
      <c r="Z32" s="43"/>
      <c r="AA32" s="44">
        <f>IF(E38="","",E38)</f>
        <v>3</v>
      </c>
      <c r="AB32" s="44"/>
      <c r="AC32" s="45">
        <f>IF(C38="","",C38)</f>
        <v>3</v>
      </c>
      <c r="AD32" s="43"/>
      <c r="AE32" s="44">
        <f>IF(E39="","",E39)</f>
        <v>4</v>
      </c>
      <c r="AF32" s="44"/>
      <c r="AG32" s="45">
        <f>IF(C39="","",C39)</f>
        <v>1</v>
      </c>
      <c r="AH32" s="43"/>
      <c r="AI32" s="44">
        <f>IF(E40="","",E40)</f>
        <v>8</v>
      </c>
      <c r="AJ32" s="44"/>
      <c r="AK32" s="45">
        <f>IF(C40="","",C40)</f>
        <v>0</v>
      </c>
      <c r="AL32" s="43"/>
      <c r="AM32" s="44">
        <f>IF(E41="","",E41)</f>
      </c>
      <c r="AN32" s="44"/>
      <c r="AO32" s="45">
        <f>IF(C41="","",C41)</f>
      </c>
      <c r="AP32" s="43"/>
      <c r="AQ32" s="44"/>
      <c r="AR32" s="44"/>
      <c r="AS32" s="45"/>
      <c r="AT32" s="47">
        <f aca="true" t="shared" si="50" ref="AT32:AT40">IF(C32&gt;E32,1,0)+IF(G32&gt;I32,1,0)+IF(K32&gt;M32,1,0)+IF(O32&gt;Q32,1,0)+IF(S32&gt;U32,1,0)+IF(W32&gt;Y32,1,0)+IF(AA32&gt;AC32,1,0)+IF(AE32&gt;AG32,1,0)+IF(AM32&gt;AO32,1,0)+IF(AQ32&gt;AS32,1,0)+IF(AI32&gt;AK32,1,0)</f>
        <v>6</v>
      </c>
      <c r="AU32" s="37">
        <f aca="true" t="shared" si="51" ref="AU32:AU40">IF(C32&lt;E32,1,0)+IF(G32&lt;I32,1,0)+IF(K32&lt;M32,1,0)+IF(O32&lt;Q32,1,0)+IF(S32&lt;U32,1,0)+IF(W32&lt;Y32,1,0)+IF(AA32&lt;AC32,1,0)+IF(AE32&lt;AG32,1,0)+IF(AM32&lt;AO32,1,0)+IF(AQ32&lt;AS32,1,0)+IF(AI32&lt;AK32,1,0)</f>
        <v>1</v>
      </c>
      <c r="AV32" s="37">
        <f aca="true" t="shared" si="52" ref="AV32:AV40">IF(AND(ISNUMBER(C32),C32=E32),1,0)+IF(AND(ISNUMBER(G32),G32=I32),1,0)+IF(AND(ISNUMBER(K32),K32=M32),1,)+IF(AND(ISNUMBER(O32),O32=Q32),1,0)+IF(AND(ISNUMBER(S32),S32=U32),1,0)+IF(AND(ISNUMBER(W32),W32=Y32),1,0)+IF(AND(ISNUMBER(AA32),AA32=AC32),1,0)+IF(AND(ISNUMBER(AE32),AE32=AG32),1,0)+IF(AND(ISNUMBER(AM32),AM32=AO32),1,0)+IF(AND(ISNUMBER(AQ32),AQ32=AS32),1,0)+IF(AND(ISNUMBER(AI32),AI32=AK32),1,0)</f>
        <v>1</v>
      </c>
      <c r="AW32" s="38">
        <f aca="true" t="shared" si="53" ref="AW32:AW40">AT32*2</f>
        <v>12</v>
      </c>
      <c r="AX32" s="39">
        <f aca="true" t="shared" si="54" ref="AX32:AX40">AU32*0</f>
        <v>0</v>
      </c>
      <c r="AY32" s="40">
        <f aca="true" t="shared" si="55" ref="AY32:AY40">AV32*1</f>
        <v>1</v>
      </c>
      <c r="AZ32" s="41">
        <f aca="true" t="shared" si="56" ref="AZ32:AZ40">AW32+AX32+AY32</f>
        <v>13</v>
      </c>
      <c r="BA32" s="37">
        <f aca="true" t="shared" si="57" ref="BA32:BA40">IF(ISNUMBER(G32),G32,0)+IF(ISNUMBER(K32),K32,0)+IF(ISNUMBER(O32),O32,0)+IF(ISNUMBER(AA32),AA32,0)+IF(ISNUMBER(AE32),AE32,0)+IF(ISNUMBER(AM32),AM32,0)+IF(ISNUMBER(S32),S32,0)+IF(ISNUMBER(W32),W32,0)+IF(ISNUMBER(C32),C32,0)+IF(ISNUMBER(AQ32),AQ32,0)+IF(ISNUMBER(AI32),AI32,0)</f>
        <v>75</v>
      </c>
      <c r="BB32" s="37">
        <f aca="true" t="shared" si="58" ref="BB32:BB40">IF(ISNUMBER(I32),I32,0)+IF(ISNUMBER(M32),M32,0)+IF(ISNUMBER(Q32),Q32,0)+IF(ISNUMBER(AC32),AC32,0)+IF(ISNUMBER(AG32),AG32,0)+IF(ISNUMBER(AO32),AO32,0)+IF(ISNUMBER(U32),U32,0)+IF(ISNUMBER(Y32),Y32,0)+IF(ISNUMBER(E32),E32,0)+IF(ISNUMBER(AS32),AS32,0)+IF(ISNUMBER(AK32),AK32,0)</f>
        <v>15</v>
      </c>
      <c r="BC32" s="37">
        <f aca="true" t="shared" si="59" ref="BC32:BC40">BA32-BB32</f>
        <v>60</v>
      </c>
      <c r="BF32" s="49">
        <f>BK32+COUNTIF(BK$31:BK31,BK32)</f>
        <v>2</v>
      </c>
      <c r="BG32" s="51" t="str">
        <f aca="true" t="shared" si="60" ref="BG32:BG40">+A32</f>
        <v>常盤平ボーイズ</v>
      </c>
      <c r="BH32" s="49">
        <f aca="true" t="shared" si="61" ref="BH32:BH40">+AZ32</f>
        <v>13</v>
      </c>
      <c r="BI32" s="49">
        <f aca="true" t="shared" si="62" ref="BI32:BI40">+AT32</f>
        <v>6</v>
      </c>
      <c r="BJ32" s="49">
        <f aca="true" t="shared" si="63" ref="BJ32:BJ40">+AT32+AU32+AV32</f>
        <v>8</v>
      </c>
      <c r="BK32" s="49">
        <f>RANK(BH32,BH$32:BH$40)</f>
        <v>2</v>
      </c>
      <c r="BL32" s="50">
        <f>VLOOKUP(ROW(BF1),$BF$32:$BK$40,6,FALSE)</f>
        <v>1</v>
      </c>
      <c r="BM32" s="52" t="str">
        <f>VLOOKUP(ROW(BF1),$BF$32:$BK$40,2,FALSE)</f>
        <v>柏ボーイング</v>
      </c>
      <c r="BN32" s="52">
        <f>VLOOKUP(ROW(BF1),$BF$32:$BK$40,3,FALSE)</f>
        <v>15</v>
      </c>
      <c r="BO32" s="52">
        <f>VLOOKUP(ROW(BF1),$BF$32:$BK$40,4,FALSE)</f>
        <v>7</v>
      </c>
      <c r="BP32" s="52">
        <f>VLOOKUP(ROW(BF1),$BF$32:$BK$40,5,FALSE)</f>
        <v>8</v>
      </c>
      <c r="BQ32" s="62"/>
      <c r="BS32" s="49">
        <f>BV32+COUNTIF(BV$31:BV31,BV32)</f>
        <v>1</v>
      </c>
      <c r="BT32" s="51" t="str">
        <f>+BG32</f>
        <v>常盤平ボーイズ</v>
      </c>
      <c r="BU32" s="49">
        <f>COUNT(B32:AO32)/2</f>
        <v>8</v>
      </c>
      <c r="BV32" s="49">
        <f>RANK(BU32,BU$32:BU$40)</f>
        <v>1</v>
      </c>
      <c r="BW32" s="50">
        <f>VLOOKUP(ROW(BS1),$BS$32:$BV$40,4,FALSE)</f>
        <v>1</v>
      </c>
      <c r="BX32" s="52" t="str">
        <f>VLOOKUP(ROW(BT1),$BS$32:$BV$40,2,FALSE)</f>
        <v>常盤平ボーイズ</v>
      </c>
    </row>
    <row r="33" spans="1:76" ht="19.5" customHeight="1">
      <c r="A33" s="107" t="s">
        <v>79</v>
      </c>
      <c r="B33" s="43"/>
      <c r="C33" s="44">
        <v>0</v>
      </c>
      <c r="D33" s="44"/>
      <c r="E33" s="45">
        <v>20</v>
      </c>
      <c r="F33" s="43"/>
      <c r="G33" s="44"/>
      <c r="H33" s="44"/>
      <c r="I33" s="45"/>
      <c r="J33" s="43"/>
      <c r="K33" s="44">
        <f>IF(I34="","",I34)</f>
        <v>2</v>
      </c>
      <c r="L33" s="44"/>
      <c r="M33" s="45">
        <f>IF(G34="","",G34)</f>
        <v>15</v>
      </c>
      <c r="N33" s="43"/>
      <c r="O33" s="44">
        <f>IF(I35="","",I35)</f>
        <v>15</v>
      </c>
      <c r="P33" s="44"/>
      <c r="Q33" s="45">
        <f>IF(G35="","",G35)</f>
        <v>3</v>
      </c>
      <c r="R33" s="43"/>
      <c r="S33" s="44">
        <f>IF(I36="","",I36)</f>
        <v>1</v>
      </c>
      <c r="T33" s="44"/>
      <c r="U33" s="45">
        <f>IF(G36="","",G36)</f>
        <v>4</v>
      </c>
      <c r="V33" s="43"/>
      <c r="W33" s="44">
        <f>IF(I37="","",I37)</f>
      </c>
      <c r="X33" s="44"/>
      <c r="Y33" s="45">
        <f>IF(G37="","",G37)</f>
      </c>
      <c r="Z33" s="43"/>
      <c r="AA33" s="44">
        <f>IF(I38="","",I38)</f>
        <v>2</v>
      </c>
      <c r="AB33" s="44"/>
      <c r="AC33" s="45">
        <f>IF(G38="","",G38)</f>
        <v>7</v>
      </c>
      <c r="AD33" s="43"/>
      <c r="AE33" s="44">
        <f>IF(I39="","",I39)</f>
      </c>
      <c r="AF33" s="44"/>
      <c r="AG33" s="45">
        <f>IF(G39="","",G39)</f>
      </c>
      <c r="AH33" s="43"/>
      <c r="AI33" s="44">
        <f>IF(I40="","",I40)</f>
        <v>9</v>
      </c>
      <c r="AJ33" s="44"/>
      <c r="AK33" s="45">
        <f>IF(G40="","",G40)</f>
        <v>4</v>
      </c>
      <c r="AL33" s="43"/>
      <c r="AM33" s="44">
        <f>IF(I41="","",I41)</f>
      </c>
      <c r="AN33" s="44"/>
      <c r="AO33" s="45">
        <f>IF(G41="","",G41)</f>
      </c>
      <c r="AP33" s="43"/>
      <c r="AQ33" s="44"/>
      <c r="AR33" s="44"/>
      <c r="AS33" s="45"/>
      <c r="AT33" s="47">
        <f t="shared" si="50"/>
        <v>2</v>
      </c>
      <c r="AU33" s="37">
        <f t="shared" si="51"/>
        <v>4</v>
      </c>
      <c r="AV33" s="37">
        <f t="shared" si="52"/>
        <v>0</v>
      </c>
      <c r="AW33" s="38">
        <f t="shared" si="53"/>
        <v>4</v>
      </c>
      <c r="AX33" s="39">
        <f t="shared" si="54"/>
        <v>0</v>
      </c>
      <c r="AY33" s="40">
        <f t="shared" si="55"/>
        <v>0</v>
      </c>
      <c r="AZ33" s="41">
        <f t="shared" si="56"/>
        <v>4</v>
      </c>
      <c r="BA33" s="37">
        <f t="shared" si="57"/>
        <v>29</v>
      </c>
      <c r="BB33" s="37">
        <f t="shared" si="58"/>
        <v>53</v>
      </c>
      <c r="BC33" s="37">
        <f t="shared" si="59"/>
        <v>-24</v>
      </c>
      <c r="BF33" s="49">
        <f>BK33+COUNTIF(BK$31:BK32,BK33)</f>
        <v>6</v>
      </c>
      <c r="BG33" s="51" t="str">
        <f t="shared" si="60"/>
        <v>にしくぼフェニックス</v>
      </c>
      <c r="BH33" s="49">
        <f t="shared" si="61"/>
        <v>4</v>
      </c>
      <c r="BI33" s="49">
        <f t="shared" si="62"/>
        <v>2</v>
      </c>
      <c r="BJ33" s="49">
        <f t="shared" si="63"/>
        <v>6</v>
      </c>
      <c r="BK33" s="49">
        <f aca="true" t="shared" si="64" ref="BK33:BK40">RANK(BH33,BH$32:BH$40)</f>
        <v>6</v>
      </c>
      <c r="BL33" s="50">
        <f aca="true" t="shared" si="65" ref="BL33:BL40">VLOOKUP(ROW(BF2),$BF$32:$BK$40,6,FALSE)</f>
        <v>2</v>
      </c>
      <c r="BM33" s="52" t="str">
        <f aca="true" t="shared" si="66" ref="BM33:BM40">VLOOKUP(ROW(BF2),$BF$32:$BK$40,2,FALSE)</f>
        <v>常盤平ボーイズ</v>
      </c>
      <c r="BN33" s="52">
        <f aca="true" t="shared" si="67" ref="BN33:BN40">VLOOKUP(ROW(BF2),$BF$32:$BK$40,3,FALSE)</f>
        <v>13</v>
      </c>
      <c r="BO33" s="52">
        <f aca="true" t="shared" si="68" ref="BO33:BO40">VLOOKUP(ROW(BF2),$BF$32:$BK$40,4,FALSE)</f>
        <v>6</v>
      </c>
      <c r="BP33" s="52">
        <f aca="true" t="shared" si="69" ref="BP33:BP40">VLOOKUP(ROW(BF2),$BF$32:$BK$40,5,FALSE)</f>
        <v>8</v>
      </c>
      <c r="BQ33" s="62"/>
      <c r="BS33" s="49">
        <f>BV33+COUNTIF(BV$31:BV32,BV33)</f>
        <v>7</v>
      </c>
      <c r="BT33" s="51" t="str">
        <f aca="true" t="shared" si="70" ref="BT33:BT40">+BG33</f>
        <v>にしくぼフェニックス</v>
      </c>
      <c r="BU33" s="49">
        <f aca="true" t="shared" si="71" ref="BU33:BU40">COUNT(B33:AO33)/2</f>
        <v>6</v>
      </c>
      <c r="BV33" s="49">
        <f aca="true" t="shared" si="72" ref="BV33:BV40">RANK(BU33,BU$32:BU$40)</f>
        <v>7</v>
      </c>
      <c r="BW33" s="50">
        <f aca="true" t="shared" si="73" ref="BW33:BW40">VLOOKUP(ROW(BS2),$BS$32:$BV$40,4,FALSE)</f>
        <v>1</v>
      </c>
      <c r="BX33" s="52" t="str">
        <f aca="true" t="shared" si="74" ref="BX33:BX40">VLOOKUP(ROW(BT2),$BS$32:$BV$40,2,FALSE)</f>
        <v>セントラルパークス</v>
      </c>
    </row>
    <row r="34" spans="1:76" ht="19.5" customHeight="1">
      <c r="A34" s="107" t="s">
        <v>110</v>
      </c>
      <c r="B34" s="43"/>
      <c r="C34" s="44">
        <v>5</v>
      </c>
      <c r="D34" s="44"/>
      <c r="E34" s="45">
        <v>8</v>
      </c>
      <c r="F34" s="43"/>
      <c r="G34" s="44">
        <v>15</v>
      </c>
      <c r="H34" s="44"/>
      <c r="I34" s="45">
        <v>2</v>
      </c>
      <c r="J34" s="43"/>
      <c r="K34" s="44"/>
      <c r="L34" s="44"/>
      <c r="M34" s="45"/>
      <c r="N34" s="43"/>
      <c r="O34" s="44">
        <f>IF(M35="","",M35)</f>
        <v>2</v>
      </c>
      <c r="P34" s="44"/>
      <c r="Q34" s="45">
        <f>IF(K35="","",K35)</f>
        <v>0</v>
      </c>
      <c r="R34" s="43"/>
      <c r="S34" s="44">
        <f>IF(M36="","",M36)</f>
        <v>7</v>
      </c>
      <c r="T34" s="44"/>
      <c r="U34" s="45">
        <f>IF(K36="","",K36)</f>
        <v>2</v>
      </c>
      <c r="V34" s="43"/>
      <c r="W34" s="44">
        <f>IF(M37="","",M37)</f>
        <v>12</v>
      </c>
      <c r="X34" s="44"/>
      <c r="Y34" s="45">
        <f>IF(K37="","",K37)</f>
        <v>2</v>
      </c>
      <c r="Z34" s="43"/>
      <c r="AA34" s="44">
        <f>IF(M38="","",M38)</f>
        <v>7</v>
      </c>
      <c r="AB34" s="44"/>
      <c r="AC34" s="45">
        <f>IF(K38="","",K38)</f>
        <v>8</v>
      </c>
      <c r="AD34" s="43"/>
      <c r="AE34" s="44">
        <f>IF(M39="","",M39)</f>
        <v>7</v>
      </c>
      <c r="AF34" s="44"/>
      <c r="AG34" s="45">
        <f>IF(K39="","",K39)</f>
        <v>2</v>
      </c>
      <c r="AH34" s="43"/>
      <c r="AI34" s="44">
        <f>IF(M40="","",M40)</f>
        <v>7</v>
      </c>
      <c r="AJ34" s="44"/>
      <c r="AK34" s="45">
        <f>IF(K40="","",K40)</f>
        <v>1</v>
      </c>
      <c r="AL34" s="43"/>
      <c r="AM34" s="44">
        <f>IF(M41="","",M41)</f>
      </c>
      <c r="AN34" s="44"/>
      <c r="AO34" s="45">
        <f>IF(K41="","",K41)</f>
      </c>
      <c r="AP34" s="43"/>
      <c r="AQ34" s="44"/>
      <c r="AR34" s="44"/>
      <c r="AS34" s="45"/>
      <c r="AT34" s="47">
        <f t="shared" si="50"/>
        <v>6</v>
      </c>
      <c r="AU34" s="37">
        <f t="shared" si="51"/>
        <v>2</v>
      </c>
      <c r="AV34" s="37">
        <f t="shared" si="52"/>
        <v>0</v>
      </c>
      <c r="AW34" s="38">
        <f t="shared" si="53"/>
        <v>12</v>
      </c>
      <c r="AX34" s="39">
        <f t="shared" si="54"/>
        <v>0</v>
      </c>
      <c r="AY34" s="40">
        <f t="shared" si="55"/>
        <v>0</v>
      </c>
      <c r="AZ34" s="41">
        <f t="shared" si="56"/>
        <v>12</v>
      </c>
      <c r="BA34" s="37">
        <f t="shared" si="57"/>
        <v>62</v>
      </c>
      <c r="BB34" s="37">
        <f t="shared" si="58"/>
        <v>25</v>
      </c>
      <c r="BC34" s="37">
        <f t="shared" si="59"/>
        <v>37</v>
      </c>
      <c r="BF34" s="49">
        <f>BK34+COUNTIF(BK$31:BK33,BK34)</f>
        <v>3</v>
      </c>
      <c r="BG34" s="51" t="str">
        <f t="shared" si="60"/>
        <v>セントラルパークス</v>
      </c>
      <c r="BH34" s="49">
        <f t="shared" si="61"/>
        <v>12</v>
      </c>
      <c r="BI34" s="49">
        <f t="shared" si="62"/>
        <v>6</v>
      </c>
      <c r="BJ34" s="49">
        <f t="shared" si="63"/>
        <v>8</v>
      </c>
      <c r="BK34" s="49">
        <f t="shared" si="64"/>
        <v>3</v>
      </c>
      <c r="BL34" s="50">
        <f t="shared" si="65"/>
        <v>3</v>
      </c>
      <c r="BM34" s="52" t="str">
        <f t="shared" si="66"/>
        <v>セントラルパークス</v>
      </c>
      <c r="BN34" s="52">
        <f t="shared" si="67"/>
        <v>12</v>
      </c>
      <c r="BO34" s="52">
        <f t="shared" si="68"/>
        <v>6</v>
      </c>
      <c r="BP34" s="52">
        <f t="shared" si="69"/>
        <v>8</v>
      </c>
      <c r="BQ34" s="62"/>
      <c r="BS34" s="49">
        <f>BV34+COUNTIF(BV$31:BV33,BV34)</f>
        <v>2</v>
      </c>
      <c r="BT34" s="51" t="str">
        <f t="shared" si="70"/>
        <v>セントラルパークス</v>
      </c>
      <c r="BU34" s="49">
        <f t="shared" si="71"/>
        <v>8</v>
      </c>
      <c r="BV34" s="49">
        <f t="shared" si="72"/>
        <v>1</v>
      </c>
      <c r="BW34" s="50">
        <f t="shared" si="73"/>
        <v>1</v>
      </c>
      <c r="BX34" s="52" t="str">
        <f t="shared" si="74"/>
        <v>大橋みどりファイターズ</v>
      </c>
    </row>
    <row r="35" spans="1:76" ht="19.5" customHeight="1">
      <c r="A35" s="107" t="s">
        <v>118</v>
      </c>
      <c r="B35" s="43"/>
      <c r="C35" s="44">
        <v>4</v>
      </c>
      <c r="D35" s="44"/>
      <c r="E35" s="45">
        <v>3</v>
      </c>
      <c r="F35" s="43"/>
      <c r="G35" s="44">
        <v>3</v>
      </c>
      <c r="H35" s="44"/>
      <c r="I35" s="45">
        <v>15</v>
      </c>
      <c r="J35" s="43"/>
      <c r="K35" s="44">
        <v>0</v>
      </c>
      <c r="L35" s="44"/>
      <c r="M35" s="45">
        <v>2</v>
      </c>
      <c r="N35" s="43"/>
      <c r="O35" s="44"/>
      <c r="P35" s="44"/>
      <c r="Q35" s="45"/>
      <c r="R35" s="43"/>
      <c r="S35" s="44">
        <f>IF(Q36="","",Q36)</f>
        <v>5</v>
      </c>
      <c r="T35" s="44"/>
      <c r="U35" s="45">
        <f>IF(O36="","",O36)</f>
        <v>5</v>
      </c>
      <c r="V35" s="43"/>
      <c r="W35" s="44">
        <f>IF(Q37="","",Q37)</f>
        <v>13</v>
      </c>
      <c r="X35" s="44"/>
      <c r="Y35" s="45">
        <f>IF(O37="","",O37)</f>
        <v>3</v>
      </c>
      <c r="Z35" s="43"/>
      <c r="AA35" s="44">
        <f>IF(Q38="","",Q38)</f>
        <v>3</v>
      </c>
      <c r="AB35" s="44"/>
      <c r="AC35" s="45">
        <f>IF(O38="","",O38)</f>
        <v>6</v>
      </c>
      <c r="AD35" s="43"/>
      <c r="AE35" s="44">
        <f>IF(Q39="","",Q39)</f>
        <v>3</v>
      </c>
      <c r="AF35" s="44"/>
      <c r="AG35" s="45">
        <f>IF(O39="","",O39)</f>
        <v>6</v>
      </c>
      <c r="AH35" s="43"/>
      <c r="AI35" s="44">
        <f>IF(Q40="","",Q40)</f>
        <v>13</v>
      </c>
      <c r="AJ35" s="44"/>
      <c r="AK35" s="45">
        <f>IF(O40="","",O40)</f>
        <v>3</v>
      </c>
      <c r="AL35" s="43"/>
      <c r="AM35" s="44">
        <f>IF(Q41="","",Q41)</f>
      </c>
      <c r="AN35" s="44"/>
      <c r="AO35" s="45">
        <f>IF(O41="","",O41)</f>
      </c>
      <c r="AP35" s="43"/>
      <c r="AQ35" s="44"/>
      <c r="AR35" s="44"/>
      <c r="AS35" s="45"/>
      <c r="AT35" s="47">
        <f t="shared" si="50"/>
        <v>3</v>
      </c>
      <c r="AU35" s="37">
        <f t="shared" si="51"/>
        <v>4</v>
      </c>
      <c r="AV35" s="37">
        <f t="shared" si="52"/>
        <v>1</v>
      </c>
      <c r="AW35" s="38">
        <f t="shared" si="53"/>
        <v>6</v>
      </c>
      <c r="AX35" s="39">
        <f t="shared" si="54"/>
        <v>0</v>
      </c>
      <c r="AY35" s="40">
        <f t="shared" si="55"/>
        <v>1</v>
      </c>
      <c r="AZ35" s="41">
        <f t="shared" si="56"/>
        <v>7</v>
      </c>
      <c r="BA35" s="37">
        <f t="shared" si="57"/>
        <v>44</v>
      </c>
      <c r="BB35" s="37">
        <f t="shared" si="58"/>
        <v>43</v>
      </c>
      <c r="BC35" s="37">
        <f t="shared" si="59"/>
        <v>1</v>
      </c>
      <c r="BF35" s="49">
        <f>BK35+COUNTIF(BK$31:BK34,BK35)</f>
        <v>4</v>
      </c>
      <c r="BG35" s="51" t="str">
        <f t="shared" si="60"/>
        <v>大橋みどりファイターズ</v>
      </c>
      <c r="BH35" s="49">
        <f t="shared" si="61"/>
        <v>7</v>
      </c>
      <c r="BI35" s="49">
        <f t="shared" si="62"/>
        <v>3</v>
      </c>
      <c r="BJ35" s="49">
        <f t="shared" si="63"/>
        <v>8</v>
      </c>
      <c r="BK35" s="49">
        <f t="shared" si="64"/>
        <v>4</v>
      </c>
      <c r="BL35" s="50">
        <f t="shared" si="65"/>
        <v>4</v>
      </c>
      <c r="BM35" s="52" t="str">
        <f t="shared" si="66"/>
        <v>大橋みどりファイターズ</v>
      </c>
      <c r="BN35" s="52">
        <f t="shared" si="67"/>
        <v>7</v>
      </c>
      <c r="BO35" s="52">
        <f t="shared" si="68"/>
        <v>3</v>
      </c>
      <c r="BP35" s="52">
        <f t="shared" si="69"/>
        <v>8</v>
      </c>
      <c r="BQ35" s="62"/>
      <c r="BS35" s="49">
        <f>BV35+COUNTIF(BV$31:BV34,BV35)</f>
        <v>3</v>
      </c>
      <c r="BT35" s="51" t="str">
        <f t="shared" si="70"/>
        <v>大橋みどりファイターズ</v>
      </c>
      <c r="BU35" s="49">
        <f t="shared" si="71"/>
        <v>8</v>
      </c>
      <c r="BV35" s="49">
        <f t="shared" si="72"/>
        <v>1</v>
      </c>
      <c r="BW35" s="50">
        <f t="shared" si="73"/>
        <v>1</v>
      </c>
      <c r="BX35" s="52" t="str">
        <f t="shared" si="74"/>
        <v>球　人　ズ</v>
      </c>
    </row>
    <row r="36" spans="1:76" ht="19.5" customHeight="1">
      <c r="A36" s="107" t="s">
        <v>106</v>
      </c>
      <c r="B36" s="43"/>
      <c r="C36" s="44">
        <v>0</v>
      </c>
      <c r="D36" s="44"/>
      <c r="E36" s="45">
        <v>12</v>
      </c>
      <c r="F36" s="43"/>
      <c r="G36" s="44">
        <v>4</v>
      </c>
      <c r="H36" s="44"/>
      <c r="I36" s="45">
        <v>1</v>
      </c>
      <c r="J36" s="43"/>
      <c r="K36" s="44">
        <v>2</v>
      </c>
      <c r="L36" s="44"/>
      <c r="M36" s="45">
        <v>7</v>
      </c>
      <c r="N36" s="43"/>
      <c r="O36" s="44">
        <v>5</v>
      </c>
      <c r="P36" s="44"/>
      <c r="Q36" s="45">
        <v>5</v>
      </c>
      <c r="R36" s="43"/>
      <c r="S36" s="44"/>
      <c r="T36" s="44"/>
      <c r="U36" s="45"/>
      <c r="V36" s="43"/>
      <c r="W36" s="44">
        <f>IF(U37="","",U37)</f>
        <v>18</v>
      </c>
      <c r="X36" s="44"/>
      <c r="Y36" s="45">
        <f>IF(S37="","",S37)</f>
        <v>0</v>
      </c>
      <c r="Z36" s="43"/>
      <c r="AA36" s="44">
        <f>IF(U38="","",U38)</f>
        <v>0</v>
      </c>
      <c r="AB36" s="44"/>
      <c r="AC36" s="45">
        <f>IF(S38="","",S38)</f>
        <v>15</v>
      </c>
      <c r="AD36" s="43"/>
      <c r="AE36" s="44">
        <f>IF(U39="","",U39)</f>
        <v>5</v>
      </c>
      <c r="AF36" s="44"/>
      <c r="AG36" s="45">
        <f>IF(S39="","",S39)</f>
        <v>1</v>
      </c>
      <c r="AH36" s="43"/>
      <c r="AI36" s="44">
        <f>IF(U40="","",U40)</f>
        <v>6</v>
      </c>
      <c r="AJ36" s="44"/>
      <c r="AK36" s="45">
        <f>IF(S40="","",S40)</f>
        <v>9</v>
      </c>
      <c r="AL36" s="43"/>
      <c r="AM36" s="44">
        <f>IF(U41="","",U41)</f>
      </c>
      <c r="AN36" s="44"/>
      <c r="AO36" s="45">
        <f>IF(S41="","",S41)</f>
      </c>
      <c r="AP36" s="43"/>
      <c r="AQ36" s="44"/>
      <c r="AR36" s="44"/>
      <c r="AS36" s="45"/>
      <c r="AT36" s="47">
        <f t="shared" si="50"/>
        <v>3</v>
      </c>
      <c r="AU36" s="37">
        <f t="shared" si="51"/>
        <v>4</v>
      </c>
      <c r="AV36" s="37">
        <f t="shared" si="52"/>
        <v>1</v>
      </c>
      <c r="AW36" s="38">
        <f t="shared" si="53"/>
        <v>6</v>
      </c>
      <c r="AX36" s="39">
        <f t="shared" si="54"/>
        <v>0</v>
      </c>
      <c r="AY36" s="40">
        <f t="shared" si="55"/>
        <v>1</v>
      </c>
      <c r="AZ36" s="41">
        <f t="shared" si="56"/>
        <v>7</v>
      </c>
      <c r="BA36" s="37">
        <f t="shared" si="57"/>
        <v>40</v>
      </c>
      <c r="BB36" s="37">
        <f t="shared" si="58"/>
        <v>50</v>
      </c>
      <c r="BC36" s="37">
        <f t="shared" si="59"/>
        <v>-10</v>
      </c>
      <c r="BF36" s="49">
        <f>BK36+COUNTIF(BK$31:BK35,BK36)</f>
        <v>5</v>
      </c>
      <c r="BG36" s="51" t="str">
        <f t="shared" si="60"/>
        <v>球　人　ズ</v>
      </c>
      <c r="BH36" s="49">
        <f t="shared" si="61"/>
        <v>7</v>
      </c>
      <c r="BI36" s="49">
        <f t="shared" si="62"/>
        <v>3</v>
      </c>
      <c r="BJ36" s="49">
        <f t="shared" si="63"/>
        <v>8</v>
      </c>
      <c r="BK36" s="49">
        <f t="shared" si="64"/>
        <v>4</v>
      </c>
      <c r="BL36" s="50">
        <f t="shared" si="65"/>
        <v>4</v>
      </c>
      <c r="BM36" s="52" t="str">
        <f t="shared" si="66"/>
        <v>球　人　ズ</v>
      </c>
      <c r="BN36" s="52">
        <f t="shared" si="67"/>
        <v>7</v>
      </c>
      <c r="BO36" s="52">
        <f t="shared" si="68"/>
        <v>3</v>
      </c>
      <c r="BP36" s="52">
        <f t="shared" si="69"/>
        <v>8</v>
      </c>
      <c r="BQ36" s="62"/>
      <c r="BS36" s="49">
        <f>BV36+COUNTIF(BV$31:BV35,BV36)</f>
        <v>4</v>
      </c>
      <c r="BT36" s="51" t="str">
        <f t="shared" si="70"/>
        <v>球　人　ズ</v>
      </c>
      <c r="BU36" s="49">
        <f t="shared" si="71"/>
        <v>8</v>
      </c>
      <c r="BV36" s="49">
        <f t="shared" si="72"/>
        <v>1</v>
      </c>
      <c r="BW36" s="50">
        <f t="shared" si="73"/>
        <v>1</v>
      </c>
      <c r="BX36" s="52" t="str">
        <f t="shared" si="74"/>
        <v>柏ボーイング</v>
      </c>
    </row>
    <row r="37" spans="1:76" ht="19.5" customHeight="1">
      <c r="A37" s="107" t="s">
        <v>84</v>
      </c>
      <c r="B37" s="43"/>
      <c r="C37" s="44">
        <v>2</v>
      </c>
      <c r="D37" s="44"/>
      <c r="E37" s="45">
        <v>17</v>
      </c>
      <c r="F37" s="43"/>
      <c r="G37" s="44"/>
      <c r="H37" s="44"/>
      <c r="I37" s="45"/>
      <c r="J37" s="43"/>
      <c r="K37" s="44">
        <v>2</v>
      </c>
      <c r="L37" s="44"/>
      <c r="M37" s="45">
        <v>12</v>
      </c>
      <c r="N37" s="43"/>
      <c r="O37" s="44">
        <v>3</v>
      </c>
      <c r="P37" s="44"/>
      <c r="Q37" s="45">
        <v>13</v>
      </c>
      <c r="R37" s="43"/>
      <c r="S37" s="44">
        <v>0</v>
      </c>
      <c r="T37" s="44"/>
      <c r="U37" s="45">
        <v>18</v>
      </c>
      <c r="V37" s="43"/>
      <c r="W37" s="44"/>
      <c r="X37" s="44"/>
      <c r="Y37" s="45"/>
      <c r="Z37" s="43"/>
      <c r="AA37" s="44">
        <f>IF(Y38="","",Y38)</f>
        <v>3</v>
      </c>
      <c r="AB37" s="44"/>
      <c r="AC37" s="45">
        <f>IF(W38="","",W38)</f>
        <v>11</v>
      </c>
      <c r="AD37" s="43"/>
      <c r="AE37" s="44">
        <f>IF(Y39="","",Y39)</f>
      </c>
      <c r="AF37" s="44"/>
      <c r="AG37" s="45">
        <f>IF(W39="","",W39)</f>
      </c>
      <c r="AH37" s="43"/>
      <c r="AI37" s="44">
        <f>IF(Y40="","",Y40)</f>
        <v>1</v>
      </c>
      <c r="AJ37" s="44"/>
      <c r="AK37" s="45">
        <f>IF(W40="","",W40)</f>
        <v>12</v>
      </c>
      <c r="AL37" s="43"/>
      <c r="AM37" s="44">
        <f>IF(Y41="","",Y41)</f>
      </c>
      <c r="AN37" s="44"/>
      <c r="AO37" s="45">
        <f>IF(W41="","",W41)</f>
      </c>
      <c r="AP37" s="43"/>
      <c r="AQ37" s="44"/>
      <c r="AR37" s="44"/>
      <c r="AS37" s="45"/>
      <c r="AT37" s="47">
        <f t="shared" si="50"/>
        <v>0</v>
      </c>
      <c r="AU37" s="37">
        <f t="shared" si="51"/>
        <v>6</v>
      </c>
      <c r="AV37" s="37">
        <f t="shared" si="52"/>
        <v>0</v>
      </c>
      <c r="AW37" s="38">
        <f t="shared" si="53"/>
        <v>0</v>
      </c>
      <c r="AX37" s="39">
        <f t="shared" si="54"/>
        <v>0</v>
      </c>
      <c r="AY37" s="40">
        <f t="shared" si="55"/>
        <v>0</v>
      </c>
      <c r="AZ37" s="41">
        <f t="shared" si="56"/>
        <v>0</v>
      </c>
      <c r="BA37" s="37">
        <f t="shared" si="57"/>
        <v>11</v>
      </c>
      <c r="BB37" s="37">
        <f t="shared" si="58"/>
        <v>83</v>
      </c>
      <c r="BC37" s="37">
        <f t="shared" si="59"/>
        <v>-72</v>
      </c>
      <c r="BF37" s="49">
        <f>BK37+COUNTIF(BK$31:BK36,BK37)</f>
        <v>9</v>
      </c>
      <c r="BG37" s="51" t="str">
        <f t="shared" si="60"/>
        <v>柏ドリームス</v>
      </c>
      <c r="BH37" s="49">
        <f t="shared" si="61"/>
        <v>0</v>
      </c>
      <c r="BI37" s="49">
        <f t="shared" si="62"/>
        <v>0</v>
      </c>
      <c r="BJ37" s="49">
        <f t="shared" si="63"/>
        <v>6</v>
      </c>
      <c r="BK37" s="49">
        <f t="shared" si="64"/>
        <v>9</v>
      </c>
      <c r="BL37" s="50">
        <f t="shared" si="65"/>
        <v>6</v>
      </c>
      <c r="BM37" s="52" t="str">
        <f t="shared" si="66"/>
        <v>にしくぼフェニックス</v>
      </c>
      <c r="BN37" s="52">
        <f t="shared" si="67"/>
        <v>4</v>
      </c>
      <c r="BO37" s="52">
        <f t="shared" si="68"/>
        <v>2</v>
      </c>
      <c r="BP37" s="52">
        <f t="shared" si="69"/>
        <v>6</v>
      </c>
      <c r="BQ37" s="62"/>
      <c r="BS37" s="49">
        <f>BV37+COUNTIF(BV$31:BV36,BV37)</f>
        <v>8</v>
      </c>
      <c r="BT37" s="51" t="str">
        <f t="shared" si="70"/>
        <v>柏ドリームス</v>
      </c>
      <c r="BU37" s="49">
        <f t="shared" si="71"/>
        <v>6</v>
      </c>
      <c r="BV37" s="49">
        <f t="shared" si="72"/>
        <v>7</v>
      </c>
      <c r="BW37" s="50">
        <f t="shared" si="73"/>
        <v>1</v>
      </c>
      <c r="BX37" s="52" t="str">
        <f t="shared" si="74"/>
        <v>布佐スパイダース</v>
      </c>
    </row>
    <row r="38" spans="1:76" ht="19.5" customHeight="1">
      <c r="A38" s="107" t="s">
        <v>122</v>
      </c>
      <c r="B38" s="43"/>
      <c r="C38" s="44">
        <v>3</v>
      </c>
      <c r="D38" s="44"/>
      <c r="E38" s="45">
        <v>3</v>
      </c>
      <c r="F38" s="43"/>
      <c r="G38" s="44">
        <v>7</v>
      </c>
      <c r="H38" s="44"/>
      <c r="I38" s="45">
        <v>2</v>
      </c>
      <c r="J38" s="43"/>
      <c r="K38" s="44">
        <v>8</v>
      </c>
      <c r="L38" s="44"/>
      <c r="M38" s="45">
        <v>7</v>
      </c>
      <c r="N38" s="43"/>
      <c r="O38" s="44">
        <v>6</v>
      </c>
      <c r="P38" s="44"/>
      <c r="Q38" s="45">
        <v>3</v>
      </c>
      <c r="R38" s="43"/>
      <c r="S38" s="44">
        <v>15</v>
      </c>
      <c r="T38" s="44"/>
      <c r="U38" s="45">
        <v>0</v>
      </c>
      <c r="V38" s="43"/>
      <c r="W38" s="44">
        <v>11</v>
      </c>
      <c r="X38" s="44"/>
      <c r="Y38" s="45">
        <v>3</v>
      </c>
      <c r="Z38" s="43"/>
      <c r="AA38" s="44"/>
      <c r="AB38" s="44"/>
      <c r="AC38" s="45"/>
      <c r="AD38" s="43"/>
      <c r="AE38" s="44">
        <f>IF(AC39="","",AC39)</f>
        <v>7</v>
      </c>
      <c r="AF38" s="44"/>
      <c r="AG38" s="45">
        <f>IF(AA39="","",AA39)</f>
        <v>3</v>
      </c>
      <c r="AH38" s="43"/>
      <c r="AI38" s="44">
        <f>IF(AC40="","",AC40)</f>
        <v>12</v>
      </c>
      <c r="AJ38" s="44"/>
      <c r="AK38" s="45">
        <f>IF(AA40="","",AA40)</f>
        <v>6</v>
      </c>
      <c r="AL38" s="43"/>
      <c r="AM38" s="44">
        <f>IF(AC41="","",AC41)</f>
      </c>
      <c r="AN38" s="44"/>
      <c r="AO38" s="45">
        <f>IF(AA41="","",AA41)</f>
      </c>
      <c r="AP38" s="43"/>
      <c r="AQ38" s="44"/>
      <c r="AR38" s="44"/>
      <c r="AS38" s="45"/>
      <c r="AT38" s="47">
        <f t="shared" si="50"/>
        <v>7</v>
      </c>
      <c r="AU38" s="37">
        <f t="shared" si="51"/>
        <v>0</v>
      </c>
      <c r="AV38" s="37">
        <f t="shared" si="52"/>
        <v>1</v>
      </c>
      <c r="AW38" s="38">
        <f t="shared" si="53"/>
        <v>14</v>
      </c>
      <c r="AX38" s="39">
        <f t="shared" si="54"/>
        <v>0</v>
      </c>
      <c r="AY38" s="40">
        <f t="shared" si="55"/>
        <v>1</v>
      </c>
      <c r="AZ38" s="41">
        <f t="shared" si="56"/>
        <v>15</v>
      </c>
      <c r="BA38" s="37">
        <f t="shared" si="57"/>
        <v>69</v>
      </c>
      <c r="BB38" s="37">
        <f t="shared" si="58"/>
        <v>27</v>
      </c>
      <c r="BC38" s="37">
        <f t="shared" si="59"/>
        <v>42</v>
      </c>
      <c r="BF38" s="49">
        <f>BK38+COUNTIF(BK$31:BK37,BK38)</f>
        <v>1</v>
      </c>
      <c r="BG38" s="51" t="str">
        <f t="shared" si="60"/>
        <v>柏ボーイング</v>
      </c>
      <c r="BH38" s="49">
        <f t="shared" si="61"/>
        <v>15</v>
      </c>
      <c r="BI38" s="49">
        <f t="shared" si="62"/>
        <v>7</v>
      </c>
      <c r="BJ38" s="49">
        <f t="shared" si="63"/>
        <v>8</v>
      </c>
      <c r="BK38" s="49">
        <f t="shared" si="64"/>
        <v>1</v>
      </c>
      <c r="BL38" s="50">
        <f t="shared" si="65"/>
        <v>6</v>
      </c>
      <c r="BM38" s="52" t="str">
        <f t="shared" si="66"/>
        <v>リトルイーグルス</v>
      </c>
      <c r="BN38" s="52">
        <f t="shared" si="67"/>
        <v>4</v>
      </c>
      <c r="BO38" s="52">
        <f t="shared" si="68"/>
        <v>2</v>
      </c>
      <c r="BP38" s="52">
        <f t="shared" si="69"/>
        <v>6</v>
      </c>
      <c r="BQ38" s="62"/>
      <c r="BS38" s="49">
        <f>BV38+COUNTIF(BV$31:BV37,BV38)</f>
        <v>5</v>
      </c>
      <c r="BT38" s="51" t="str">
        <f t="shared" si="70"/>
        <v>柏ボーイング</v>
      </c>
      <c r="BU38" s="49">
        <f t="shared" si="71"/>
        <v>8</v>
      </c>
      <c r="BV38" s="49">
        <f t="shared" si="72"/>
        <v>1</v>
      </c>
      <c r="BW38" s="50">
        <f t="shared" si="73"/>
        <v>7</v>
      </c>
      <c r="BX38" s="52" t="str">
        <f t="shared" si="74"/>
        <v>にしくぼフェニックス</v>
      </c>
    </row>
    <row r="39" spans="1:76" ht="19.5" customHeight="1">
      <c r="A39" s="107" t="s">
        <v>102</v>
      </c>
      <c r="B39" s="43"/>
      <c r="C39" s="44">
        <v>1</v>
      </c>
      <c r="D39" s="44"/>
      <c r="E39" s="45">
        <v>4</v>
      </c>
      <c r="F39" s="43"/>
      <c r="G39" s="44"/>
      <c r="H39" s="44"/>
      <c r="I39" s="45"/>
      <c r="J39" s="43"/>
      <c r="K39" s="44">
        <v>2</v>
      </c>
      <c r="L39" s="44"/>
      <c r="M39" s="45">
        <v>7</v>
      </c>
      <c r="N39" s="43"/>
      <c r="O39" s="44">
        <v>6</v>
      </c>
      <c r="P39" s="44"/>
      <c r="Q39" s="45">
        <v>3</v>
      </c>
      <c r="R39" s="43"/>
      <c r="S39" s="44">
        <v>1</v>
      </c>
      <c r="T39" s="44"/>
      <c r="U39" s="45">
        <v>5</v>
      </c>
      <c r="V39" s="43"/>
      <c r="W39" s="44"/>
      <c r="X39" s="44"/>
      <c r="Y39" s="45"/>
      <c r="Z39" s="43"/>
      <c r="AA39" s="44">
        <v>3</v>
      </c>
      <c r="AB39" s="44"/>
      <c r="AC39" s="45">
        <v>7</v>
      </c>
      <c r="AD39" s="43"/>
      <c r="AE39" s="44"/>
      <c r="AF39" s="44"/>
      <c r="AG39" s="45"/>
      <c r="AH39" s="43"/>
      <c r="AI39" s="44">
        <f>IF(AG40="","",AG40)</f>
        <v>4</v>
      </c>
      <c r="AJ39" s="44"/>
      <c r="AK39" s="45">
        <f>IF(AE40="","",AE40)</f>
        <v>3</v>
      </c>
      <c r="AL39" s="43"/>
      <c r="AM39" s="44">
        <f>IF(AG41="","",AG41)</f>
      </c>
      <c r="AN39" s="44"/>
      <c r="AO39" s="45">
        <f>IF(AE41="","",AE41)</f>
      </c>
      <c r="AP39" s="43"/>
      <c r="AQ39" s="44"/>
      <c r="AR39" s="44"/>
      <c r="AS39" s="45"/>
      <c r="AT39" s="47">
        <f t="shared" si="50"/>
        <v>2</v>
      </c>
      <c r="AU39" s="37">
        <f t="shared" si="51"/>
        <v>4</v>
      </c>
      <c r="AV39" s="37">
        <f t="shared" si="52"/>
        <v>0</v>
      </c>
      <c r="AW39" s="38">
        <f t="shared" si="53"/>
        <v>4</v>
      </c>
      <c r="AX39" s="39">
        <f t="shared" si="54"/>
        <v>0</v>
      </c>
      <c r="AY39" s="40">
        <f t="shared" si="55"/>
        <v>0</v>
      </c>
      <c r="AZ39" s="41">
        <f t="shared" si="56"/>
        <v>4</v>
      </c>
      <c r="BA39" s="37">
        <f t="shared" si="57"/>
        <v>17</v>
      </c>
      <c r="BB39" s="37">
        <f t="shared" si="58"/>
        <v>29</v>
      </c>
      <c r="BC39" s="37">
        <f t="shared" si="59"/>
        <v>-12</v>
      </c>
      <c r="BF39" s="49">
        <f>BK39+COUNTIF(BK$31:BK38,BK39)</f>
        <v>7</v>
      </c>
      <c r="BG39" s="51" t="str">
        <f t="shared" si="60"/>
        <v>リトルイーグルス</v>
      </c>
      <c r="BH39" s="49">
        <f t="shared" si="61"/>
        <v>4</v>
      </c>
      <c r="BI39" s="49">
        <f t="shared" si="62"/>
        <v>2</v>
      </c>
      <c r="BJ39" s="49">
        <f t="shared" si="63"/>
        <v>6</v>
      </c>
      <c r="BK39" s="49">
        <f t="shared" si="64"/>
        <v>6</v>
      </c>
      <c r="BL39" s="50">
        <f t="shared" si="65"/>
        <v>6</v>
      </c>
      <c r="BM39" s="52" t="str">
        <f t="shared" si="66"/>
        <v>布佐スパイダース</v>
      </c>
      <c r="BN39" s="52">
        <f t="shared" si="67"/>
        <v>4</v>
      </c>
      <c r="BO39" s="52">
        <f t="shared" si="68"/>
        <v>2</v>
      </c>
      <c r="BP39" s="52">
        <f t="shared" si="69"/>
        <v>8</v>
      </c>
      <c r="BQ39" s="62"/>
      <c r="BS39" s="49">
        <f>BV39+COUNTIF(BV$31:BV38,BV39)</f>
        <v>9</v>
      </c>
      <c r="BT39" s="51" t="str">
        <f t="shared" si="70"/>
        <v>リトルイーグルス</v>
      </c>
      <c r="BU39" s="49">
        <f t="shared" si="71"/>
        <v>6</v>
      </c>
      <c r="BV39" s="49">
        <f t="shared" si="72"/>
        <v>7</v>
      </c>
      <c r="BW39" s="50">
        <f t="shared" si="73"/>
        <v>7</v>
      </c>
      <c r="BX39" s="52" t="str">
        <f t="shared" si="74"/>
        <v>柏ドリームス</v>
      </c>
    </row>
    <row r="40" spans="1:76" ht="19.5" customHeight="1">
      <c r="A40" s="107" t="s">
        <v>129</v>
      </c>
      <c r="B40" s="43"/>
      <c r="C40" s="44">
        <v>0</v>
      </c>
      <c r="D40" s="44"/>
      <c r="E40" s="45">
        <v>8</v>
      </c>
      <c r="F40" s="43"/>
      <c r="G40" s="44">
        <v>4</v>
      </c>
      <c r="H40" s="44"/>
      <c r="I40" s="45">
        <v>9</v>
      </c>
      <c r="J40" s="43"/>
      <c r="K40" s="44">
        <v>1</v>
      </c>
      <c r="L40" s="44"/>
      <c r="M40" s="45">
        <v>7</v>
      </c>
      <c r="N40" s="43"/>
      <c r="O40" s="44">
        <v>3</v>
      </c>
      <c r="P40" s="44"/>
      <c r="Q40" s="45">
        <v>13</v>
      </c>
      <c r="R40" s="43"/>
      <c r="S40" s="44">
        <v>9</v>
      </c>
      <c r="T40" s="44"/>
      <c r="U40" s="45">
        <v>6</v>
      </c>
      <c r="V40" s="43"/>
      <c r="W40" s="44">
        <v>12</v>
      </c>
      <c r="X40" s="44"/>
      <c r="Y40" s="45">
        <v>1</v>
      </c>
      <c r="Z40" s="43"/>
      <c r="AA40" s="44">
        <v>6</v>
      </c>
      <c r="AB40" s="44"/>
      <c r="AC40" s="45">
        <v>12</v>
      </c>
      <c r="AD40" s="43"/>
      <c r="AE40" s="44">
        <v>3</v>
      </c>
      <c r="AF40" s="44"/>
      <c r="AG40" s="45">
        <v>4</v>
      </c>
      <c r="AH40" s="44"/>
      <c r="AI40" s="44"/>
      <c r="AJ40" s="44"/>
      <c r="AK40" s="44"/>
      <c r="AL40" s="43"/>
      <c r="AM40" s="44">
        <f>IF(AK41="","",AK41)</f>
      </c>
      <c r="AN40" s="44"/>
      <c r="AO40" s="45">
        <f>IF(AI41="","",AI41)</f>
      </c>
      <c r="AP40" s="43"/>
      <c r="AQ40" s="44"/>
      <c r="AR40" s="44"/>
      <c r="AS40" s="45"/>
      <c r="AT40" s="47">
        <f t="shared" si="50"/>
        <v>2</v>
      </c>
      <c r="AU40" s="37">
        <f t="shared" si="51"/>
        <v>6</v>
      </c>
      <c r="AV40" s="37">
        <f t="shared" si="52"/>
        <v>0</v>
      </c>
      <c r="AW40" s="38">
        <f t="shared" si="53"/>
        <v>4</v>
      </c>
      <c r="AX40" s="39">
        <f t="shared" si="54"/>
        <v>0</v>
      </c>
      <c r="AY40" s="40">
        <f t="shared" si="55"/>
        <v>0</v>
      </c>
      <c r="AZ40" s="41">
        <f t="shared" si="56"/>
        <v>4</v>
      </c>
      <c r="BA40" s="37">
        <f t="shared" si="57"/>
        <v>38</v>
      </c>
      <c r="BB40" s="37">
        <f t="shared" si="58"/>
        <v>60</v>
      </c>
      <c r="BC40" s="37">
        <f t="shared" si="59"/>
        <v>-22</v>
      </c>
      <c r="BF40" s="49">
        <f>BK40+COUNTIF(BK$31:BK39,BK40)</f>
        <v>8</v>
      </c>
      <c r="BG40" s="51" t="str">
        <f t="shared" si="60"/>
        <v>布佐スパイダース</v>
      </c>
      <c r="BH40" s="49">
        <f t="shared" si="61"/>
        <v>4</v>
      </c>
      <c r="BI40" s="49">
        <f t="shared" si="62"/>
        <v>2</v>
      </c>
      <c r="BJ40" s="49">
        <f t="shared" si="63"/>
        <v>8</v>
      </c>
      <c r="BK40" s="49">
        <f t="shared" si="64"/>
        <v>6</v>
      </c>
      <c r="BL40" s="50">
        <f t="shared" si="65"/>
        <v>9</v>
      </c>
      <c r="BM40" s="52" t="str">
        <f t="shared" si="66"/>
        <v>柏ドリームス</v>
      </c>
      <c r="BN40" s="52">
        <f t="shared" si="67"/>
        <v>0</v>
      </c>
      <c r="BO40" s="52">
        <f t="shared" si="68"/>
        <v>0</v>
      </c>
      <c r="BP40" s="52">
        <f t="shared" si="69"/>
        <v>6</v>
      </c>
      <c r="BQ40" s="62"/>
      <c r="BS40" s="49">
        <f>BV40+COUNTIF(BV$31:BV39,BV40)</f>
        <v>6</v>
      </c>
      <c r="BT40" s="51" t="str">
        <f t="shared" si="70"/>
        <v>布佐スパイダース</v>
      </c>
      <c r="BU40" s="49">
        <f t="shared" si="71"/>
        <v>8</v>
      </c>
      <c r="BV40" s="49">
        <f t="shared" si="72"/>
        <v>1</v>
      </c>
      <c r="BW40" s="50">
        <f t="shared" si="73"/>
        <v>7</v>
      </c>
      <c r="BX40" s="52" t="str">
        <f t="shared" si="74"/>
        <v>リトルイーグルス</v>
      </c>
    </row>
    <row r="41" spans="1:76" ht="19.5" customHeight="1">
      <c r="A41" s="107"/>
      <c r="B41" s="43"/>
      <c r="C41" s="44"/>
      <c r="D41" s="44"/>
      <c r="E41" s="45"/>
      <c r="F41" s="43"/>
      <c r="G41" s="44"/>
      <c r="H41" s="44"/>
      <c r="I41" s="45"/>
      <c r="J41" s="43"/>
      <c r="K41" s="44"/>
      <c r="L41" s="44"/>
      <c r="M41" s="45"/>
      <c r="N41" s="43"/>
      <c r="O41" s="44"/>
      <c r="P41" s="44"/>
      <c r="Q41" s="45"/>
      <c r="R41" s="43"/>
      <c r="S41" s="44"/>
      <c r="T41" s="44"/>
      <c r="U41" s="45"/>
      <c r="V41" s="43"/>
      <c r="W41" s="44"/>
      <c r="X41" s="44"/>
      <c r="Y41" s="45"/>
      <c r="Z41" s="43"/>
      <c r="AA41" s="44"/>
      <c r="AB41" s="44"/>
      <c r="AC41" s="45"/>
      <c r="AD41" s="43"/>
      <c r="AE41" s="44"/>
      <c r="AF41" s="44"/>
      <c r="AG41" s="45"/>
      <c r="AH41" s="44"/>
      <c r="AI41" s="44"/>
      <c r="AJ41" s="44"/>
      <c r="AK41" s="44"/>
      <c r="AL41" s="43"/>
      <c r="AM41" s="44"/>
      <c r="AN41" s="44"/>
      <c r="AO41" s="45"/>
      <c r="AP41" s="43"/>
      <c r="AQ41" s="44"/>
      <c r="AR41" s="44"/>
      <c r="AS41" s="45"/>
      <c r="AT41" s="47"/>
      <c r="AU41" s="37"/>
      <c r="AV41" s="37"/>
      <c r="AW41" s="38"/>
      <c r="AX41" s="39"/>
      <c r="AY41" s="40"/>
      <c r="AZ41" s="41"/>
      <c r="BA41" s="37"/>
      <c r="BB41" s="37"/>
      <c r="BC41" s="37"/>
      <c r="BF41" s="49"/>
      <c r="BG41" s="51"/>
      <c r="BH41" s="49"/>
      <c r="BI41" s="49"/>
      <c r="BJ41" s="49"/>
      <c r="BK41" s="49"/>
      <c r="BL41" s="50"/>
      <c r="BM41" s="52"/>
      <c r="BN41" s="52"/>
      <c r="BO41" s="52"/>
      <c r="BP41" s="52"/>
      <c r="BQ41" s="62"/>
      <c r="BS41" s="49"/>
      <c r="BT41" s="51"/>
      <c r="BU41" s="49"/>
      <c r="BV41" s="49"/>
      <c r="BW41" s="50"/>
      <c r="BX41" s="52"/>
    </row>
    <row r="42" spans="1:76" ht="19.5" customHeight="1">
      <c r="A42" s="94"/>
      <c r="B42" s="43"/>
      <c r="C42" s="44"/>
      <c r="D42" s="44"/>
      <c r="E42" s="45"/>
      <c r="F42" s="43"/>
      <c r="G42" s="44"/>
      <c r="H42" s="44"/>
      <c r="I42" s="45"/>
      <c r="J42" s="43"/>
      <c r="K42" s="44"/>
      <c r="L42" s="44"/>
      <c r="M42" s="45"/>
      <c r="N42" s="43"/>
      <c r="O42" s="44"/>
      <c r="P42" s="44"/>
      <c r="Q42" s="45"/>
      <c r="R42" s="43"/>
      <c r="S42" s="44"/>
      <c r="T42" s="44"/>
      <c r="U42" s="45"/>
      <c r="V42" s="43"/>
      <c r="W42" s="44"/>
      <c r="X42" s="44"/>
      <c r="Y42" s="45"/>
      <c r="Z42" s="43"/>
      <c r="AA42" s="44"/>
      <c r="AB42" s="44"/>
      <c r="AC42" s="45"/>
      <c r="AD42" s="43"/>
      <c r="AE42" s="44"/>
      <c r="AF42" s="44"/>
      <c r="AG42" s="45"/>
      <c r="AH42" s="44"/>
      <c r="AI42" s="44"/>
      <c r="AJ42" s="44"/>
      <c r="AK42" s="44"/>
      <c r="AL42" s="43"/>
      <c r="AM42" s="44"/>
      <c r="AN42" s="44"/>
      <c r="AO42" s="45"/>
      <c r="AP42" s="43"/>
      <c r="AQ42" s="44"/>
      <c r="AR42" s="44"/>
      <c r="AS42" s="45"/>
      <c r="AT42" s="47"/>
      <c r="AU42" s="37"/>
      <c r="AV42" s="37"/>
      <c r="AW42" s="38"/>
      <c r="AX42" s="39"/>
      <c r="AY42" s="40"/>
      <c r="AZ42" s="41"/>
      <c r="BA42" s="37"/>
      <c r="BB42" s="37"/>
      <c r="BC42" s="37"/>
      <c r="BF42" s="49"/>
      <c r="BG42" s="51"/>
      <c r="BH42" s="49"/>
      <c r="BI42" s="49"/>
      <c r="BJ42" s="49"/>
      <c r="BK42" s="49"/>
      <c r="BL42" s="50"/>
      <c r="BM42" s="52"/>
      <c r="BN42" s="52"/>
      <c r="BO42" s="52"/>
      <c r="BP42" s="52"/>
      <c r="BQ42" s="62"/>
      <c r="BS42" s="49"/>
      <c r="BT42" s="51"/>
      <c r="BU42" s="49"/>
      <c r="BV42" s="49"/>
      <c r="BW42" s="50"/>
      <c r="BX42" s="52"/>
    </row>
    <row r="43" spans="1:74" ht="19.5" customHeight="1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8"/>
      <c r="AH43" s="8"/>
      <c r="AI43" s="8"/>
      <c r="AJ43" s="8"/>
      <c r="AK43" s="8"/>
      <c r="AL43" s="8"/>
      <c r="AM43" s="8"/>
      <c r="AN43" s="27"/>
      <c r="AO43" s="1"/>
      <c r="AP43" s="1"/>
      <c r="AQ43" s="1"/>
      <c r="AR43" s="1"/>
      <c r="AS43" s="1"/>
      <c r="AT43" s="7">
        <f>SUM(AT32:AT42)</f>
        <v>31</v>
      </c>
      <c r="AU43" s="7">
        <f>SUM(AU32:AU42)</f>
        <v>31</v>
      </c>
      <c r="AV43" s="7">
        <f>SUM(AV32:AV42)</f>
        <v>4</v>
      </c>
      <c r="AW43" s="7"/>
      <c r="AX43" s="7"/>
      <c r="AY43" s="7"/>
      <c r="AZ43" s="7"/>
      <c r="BA43" s="7">
        <f>SUM(BA32:BA42)</f>
        <v>385</v>
      </c>
      <c r="BB43" s="7">
        <f>SUM(BB32:BB42)</f>
        <v>385</v>
      </c>
      <c r="BC43" s="7">
        <f>SUM(BC32:BC42)</f>
        <v>0</v>
      </c>
      <c r="BU43" s="60">
        <f>SUM(BU32:BU42)/2</f>
        <v>33</v>
      </c>
      <c r="BV43" s="3">
        <f>8*9/2</f>
        <v>36</v>
      </c>
    </row>
    <row r="44" spans="1:73" ht="19.5" customHeight="1">
      <c r="A44" s="105" t="s">
        <v>67</v>
      </c>
      <c r="B44" s="90" t="s">
        <v>71</v>
      </c>
      <c r="C44" s="58"/>
      <c r="D44" s="58"/>
      <c r="E44" s="58"/>
      <c r="F44" s="58"/>
      <c r="G44" s="158" t="str">
        <f>"１日"&amp;ROUND((BV57-BU57)/'戦績'!N42,1)&amp;"試合"</f>
        <v>１日1.3試合</v>
      </c>
      <c r="H44" s="158"/>
      <c r="I44" s="158"/>
      <c r="J44" s="158"/>
      <c r="K44" s="153" t="s">
        <v>53</v>
      </c>
      <c r="L44" s="153"/>
      <c r="M44" s="153"/>
      <c r="N44" s="153"/>
      <c r="O44" s="154" t="str">
        <f>IF(C71&gt;C70,+BM46,"")</f>
        <v>東部フェニックス</v>
      </c>
      <c r="P44" s="154"/>
      <c r="Q44" s="154"/>
      <c r="R44" s="154"/>
      <c r="S44" s="154"/>
      <c r="T44" s="59"/>
      <c r="U44" s="153" t="s">
        <v>54</v>
      </c>
      <c r="V44" s="153"/>
      <c r="W44" s="153"/>
      <c r="X44" s="153"/>
      <c r="Y44" s="154" t="str">
        <f>IF(C71&gt;C70,+BM47,"")</f>
        <v>木刈ファイターズ</v>
      </c>
      <c r="Z44" s="154"/>
      <c r="AA44" s="154"/>
      <c r="AB44" s="154"/>
      <c r="AC44" s="154"/>
      <c r="AD44" s="154"/>
      <c r="AE44" s="1"/>
      <c r="AF44" s="1"/>
      <c r="AG44" s="1"/>
      <c r="AH44" s="1"/>
      <c r="AI44" s="1"/>
      <c r="AJ44" s="1"/>
      <c r="AK44" s="1"/>
      <c r="AL44" s="1"/>
      <c r="AM44" s="1"/>
      <c r="AN44" s="61" t="s">
        <v>55</v>
      </c>
      <c r="AO44" s="1"/>
      <c r="AP44" s="1"/>
      <c r="AQ44" s="1"/>
      <c r="AR44" s="151">
        <f>+BU57/(MAX(BF46:BF55)*(MAX(BF46:BF55)-1)/2)</f>
        <v>0.8888888888888888</v>
      </c>
      <c r="AS44" s="151"/>
      <c r="AT44" s="67">
        <f>IF(AT43=AU43,"","計算間違い")</f>
      </c>
      <c r="AU44" s="1"/>
      <c r="AV44" s="1"/>
      <c r="AW44" s="1" t="s">
        <v>56</v>
      </c>
      <c r="AX44" s="1" t="s">
        <v>57</v>
      </c>
      <c r="AY44" s="1" t="s">
        <v>58</v>
      </c>
      <c r="AZ44" s="7"/>
      <c r="BA44" s="7"/>
      <c r="BB44" s="7"/>
      <c r="BC44" s="7"/>
      <c r="BU44" s="60"/>
    </row>
    <row r="45" spans="1:73" ht="19.5" customHeight="1">
      <c r="A45" s="5"/>
      <c r="B45" s="155" t="str">
        <f>+A46</f>
        <v>松戸カージナルス</v>
      </c>
      <c r="C45" s="156"/>
      <c r="D45" s="156"/>
      <c r="E45" s="157"/>
      <c r="F45" s="155" t="str">
        <f>+A47</f>
        <v>馬橋ドリームス</v>
      </c>
      <c r="G45" s="156"/>
      <c r="H45" s="156"/>
      <c r="I45" s="157"/>
      <c r="J45" s="155" t="str">
        <f>+A48</f>
        <v>牧の原ジュニアーズ</v>
      </c>
      <c r="K45" s="156"/>
      <c r="L45" s="156"/>
      <c r="M45" s="157"/>
      <c r="N45" s="155" t="str">
        <f>+A49</f>
        <v>梅郷パワーズ</v>
      </c>
      <c r="O45" s="156"/>
      <c r="P45" s="156"/>
      <c r="Q45" s="157"/>
      <c r="R45" s="155" t="str">
        <f>+A50</f>
        <v>東部フェニックス</v>
      </c>
      <c r="S45" s="156"/>
      <c r="T45" s="156"/>
      <c r="U45" s="157"/>
      <c r="V45" s="155" t="str">
        <f>+A51</f>
        <v>柏南ギャランツ</v>
      </c>
      <c r="W45" s="156"/>
      <c r="X45" s="156"/>
      <c r="Y45" s="157"/>
      <c r="Z45" s="155" t="str">
        <f>+A52</f>
        <v>大津ケ丘ファイタース</v>
      </c>
      <c r="AA45" s="156"/>
      <c r="AB45" s="156"/>
      <c r="AC45" s="157"/>
      <c r="AD45" s="155" t="str">
        <f>+A53</f>
        <v>新木ファイターズ</v>
      </c>
      <c r="AE45" s="156"/>
      <c r="AF45" s="156"/>
      <c r="AG45" s="157"/>
      <c r="AH45" s="155" t="str">
        <f>+A54</f>
        <v>木刈ファイターズ</v>
      </c>
      <c r="AI45" s="156"/>
      <c r="AJ45" s="156"/>
      <c r="AK45" s="157"/>
      <c r="AL45" s="155">
        <f>+A55</f>
        <v>0</v>
      </c>
      <c r="AM45" s="156"/>
      <c r="AN45" s="156"/>
      <c r="AO45" s="157"/>
      <c r="AP45" s="152"/>
      <c r="AQ45" s="152"/>
      <c r="AR45" s="152"/>
      <c r="AS45" s="152"/>
      <c r="AT45" s="32" t="s">
        <v>7</v>
      </c>
      <c r="AU45" s="32" t="s">
        <v>8</v>
      </c>
      <c r="AV45" s="32" t="s">
        <v>9</v>
      </c>
      <c r="AW45" s="33" t="s">
        <v>59</v>
      </c>
      <c r="AX45" s="34" t="s">
        <v>60</v>
      </c>
      <c r="AY45" s="35" t="s">
        <v>61</v>
      </c>
      <c r="AZ45" s="36" t="s">
        <v>62</v>
      </c>
      <c r="BA45" s="32" t="s">
        <v>11</v>
      </c>
      <c r="BB45" s="32" t="s">
        <v>12</v>
      </c>
      <c r="BC45" s="32" t="s">
        <v>13</v>
      </c>
      <c r="BF45" s="48"/>
      <c r="BG45" s="48" t="s">
        <v>63</v>
      </c>
      <c r="BH45" s="48" t="s">
        <v>64</v>
      </c>
      <c r="BI45" s="48"/>
      <c r="BJ45" s="48"/>
      <c r="BK45" s="48"/>
      <c r="BL45" s="48"/>
      <c r="BT45" s="3" t="s">
        <v>63</v>
      </c>
      <c r="BU45" s="3" t="s">
        <v>66</v>
      </c>
    </row>
    <row r="46" spans="1:76" ht="19.5" customHeight="1">
      <c r="A46" s="107" t="s">
        <v>87</v>
      </c>
      <c r="B46" s="43"/>
      <c r="C46" s="44"/>
      <c r="D46" s="44"/>
      <c r="E46" s="45"/>
      <c r="F46" s="43"/>
      <c r="G46" s="44">
        <f>IF(E47="","",E47)</f>
        <v>4</v>
      </c>
      <c r="H46" s="44"/>
      <c r="I46" s="45">
        <f>IF(C47="","",C47)</f>
        <v>4</v>
      </c>
      <c r="J46" s="43"/>
      <c r="K46" s="44">
        <f>IF(E48="","",E48)</f>
        <v>6</v>
      </c>
      <c r="L46" s="44"/>
      <c r="M46" s="45">
        <f>IF(C48="","",C48)</f>
        <v>7</v>
      </c>
      <c r="N46" s="43"/>
      <c r="O46" s="44">
        <f>IF(E49="","",E49)</f>
        <v>5</v>
      </c>
      <c r="P46" s="44"/>
      <c r="Q46" s="45">
        <f>IF(C49="","",C49)</f>
        <v>11</v>
      </c>
      <c r="R46" s="43"/>
      <c r="S46" s="44">
        <f>IF(E50="","",E50)</f>
        <v>0</v>
      </c>
      <c r="T46" s="44"/>
      <c r="U46" s="45">
        <f>IF(C50="","",C50)</f>
        <v>5</v>
      </c>
      <c r="V46" s="43"/>
      <c r="W46" s="44">
        <f>IF(E51="","",E51)</f>
        <v>8</v>
      </c>
      <c r="X46" s="44"/>
      <c r="Y46" s="45">
        <f>IF(C51="","",C51)</f>
        <v>10</v>
      </c>
      <c r="Z46" s="43"/>
      <c r="AA46" s="44">
        <f>IF(E52="","",E52)</f>
      </c>
      <c r="AB46" s="44"/>
      <c r="AC46" s="45">
        <f>IF(C52="","",C52)</f>
      </c>
      <c r="AD46" s="43"/>
      <c r="AE46" s="44">
        <f>IF(E53="","",E53)</f>
        <v>5</v>
      </c>
      <c r="AF46" s="44"/>
      <c r="AG46" s="45">
        <f>IF(C53="","",C53)</f>
        <v>5</v>
      </c>
      <c r="AH46" s="43"/>
      <c r="AI46" s="44">
        <f>IF(E54="","",E54)</f>
        <v>1</v>
      </c>
      <c r="AJ46" s="44"/>
      <c r="AK46" s="45">
        <f>IF(C54="","",C54)</f>
        <v>10</v>
      </c>
      <c r="AL46" s="43"/>
      <c r="AM46" s="44">
        <f>IF(E55="","",E55)</f>
      </c>
      <c r="AN46" s="44"/>
      <c r="AO46" s="45">
        <f>IF(C55="","",C55)</f>
      </c>
      <c r="AP46" s="43"/>
      <c r="AQ46" s="44"/>
      <c r="AR46" s="44"/>
      <c r="AS46" s="45"/>
      <c r="AT46" s="47">
        <f aca="true" t="shared" si="75" ref="AT46:AT54">IF(C46&gt;E46,1,0)+IF(G46&gt;I46,1,0)+IF(K46&gt;M46,1,0)+IF(O46&gt;Q46,1,0)+IF(S46&gt;U46,1,0)+IF(W46&gt;Y46,1,0)+IF(AA46&gt;AC46,1,0)+IF(AE46&gt;AG46,1,0)+IF(AM46&gt;AO46,1,0)+IF(AQ46&gt;AS46,1,0)+IF(AI46&gt;AK46,1,0)</f>
        <v>0</v>
      </c>
      <c r="AU46" s="37">
        <f aca="true" t="shared" si="76" ref="AU46:AU54">IF(C46&lt;E46,1,0)+IF(G46&lt;I46,1,0)+IF(K46&lt;M46,1,0)+IF(O46&lt;Q46,1,0)+IF(S46&lt;U46,1,0)+IF(W46&lt;Y46,1,0)+IF(AA46&lt;AC46,1,0)+IF(AE46&lt;AG46,1,0)+IF(AM46&lt;AO46,1,0)+IF(AQ46&lt;AS46,1,0)+IF(AI46&lt;AK46,1,0)</f>
        <v>5</v>
      </c>
      <c r="AV46" s="37">
        <f aca="true" t="shared" si="77" ref="AV46:AV54">IF(AND(ISNUMBER(C46),C46=E46),1,0)+IF(AND(ISNUMBER(G46),G46=I46),1,0)+IF(AND(ISNUMBER(K46),K46=M46),1,)+IF(AND(ISNUMBER(O46),O46=Q46),1,0)+IF(AND(ISNUMBER(S46),S46=U46),1,0)+IF(AND(ISNUMBER(W46),W46=Y46),1,0)+IF(AND(ISNUMBER(AA46),AA46=AC46),1,0)+IF(AND(ISNUMBER(AE46),AE46=AG46),1,0)+IF(AND(ISNUMBER(AM46),AM46=AO46),1,0)+IF(AND(ISNUMBER(AQ46),AQ46=AS46),1,0)+IF(AND(ISNUMBER(AI46),AI46=AK46),1,0)</f>
        <v>2</v>
      </c>
      <c r="AW46" s="38">
        <f aca="true" t="shared" si="78" ref="AW46:AW54">AT46*2</f>
        <v>0</v>
      </c>
      <c r="AX46" s="39">
        <f aca="true" t="shared" si="79" ref="AX46:AX54">AU46*0</f>
        <v>0</v>
      </c>
      <c r="AY46" s="40">
        <f aca="true" t="shared" si="80" ref="AY46:AY54">AV46*1</f>
        <v>2</v>
      </c>
      <c r="AZ46" s="41">
        <f aca="true" t="shared" si="81" ref="AZ46:AZ54">AW46+AX46+AY46</f>
        <v>2</v>
      </c>
      <c r="BA46" s="37">
        <f aca="true" t="shared" si="82" ref="BA46:BA54">IF(ISNUMBER(G46),G46,0)+IF(ISNUMBER(K46),K46,0)+IF(ISNUMBER(O46),O46,0)+IF(ISNUMBER(AA46),AA46,0)+IF(ISNUMBER(AE46),AE46,0)+IF(ISNUMBER(AM46),AM46,0)+IF(ISNUMBER(S46),S46,0)+IF(ISNUMBER(W46),W46,0)+IF(ISNUMBER(C46),C46,0)+IF(ISNUMBER(AQ46),AQ46,0)+IF(ISNUMBER(AI46),AI46,0)</f>
        <v>29</v>
      </c>
      <c r="BB46" s="37">
        <f aca="true" t="shared" si="83" ref="BB46:BB54">IF(ISNUMBER(I46),I46,0)+IF(ISNUMBER(M46),M46,0)+IF(ISNUMBER(Q46),Q46,0)+IF(ISNUMBER(AC46),AC46,0)+IF(ISNUMBER(AG46),AG46,0)+IF(ISNUMBER(AO46),AO46,0)+IF(ISNUMBER(U46),U46,0)+IF(ISNUMBER(Y46),Y46,0)+IF(ISNUMBER(E46),E46,0)+IF(ISNUMBER(AS46),AS46,0)+IF(ISNUMBER(AK46),AK46,0)</f>
        <v>52</v>
      </c>
      <c r="BC46" s="37">
        <f aca="true" t="shared" si="84" ref="BC46:BC54">BA46-BB46</f>
        <v>-23</v>
      </c>
      <c r="BF46" s="49">
        <f>BK46+COUNTIF(BK45:BK$45,BK46)</f>
        <v>9</v>
      </c>
      <c r="BG46" s="51" t="str">
        <f>+A46</f>
        <v>松戸カージナルス</v>
      </c>
      <c r="BH46" s="49">
        <f>+AZ46</f>
        <v>2</v>
      </c>
      <c r="BI46" s="49">
        <f>+AT46</f>
        <v>0</v>
      </c>
      <c r="BJ46" s="49">
        <f>+AT46+AU46+AV46</f>
        <v>7</v>
      </c>
      <c r="BK46" s="49">
        <f>RANK(BH46,BH$46:BH$54)</f>
        <v>9</v>
      </c>
      <c r="BL46" s="50">
        <f>VLOOKUP(ROW(BF1),$BF$46:$BK$54,6,FALSE)</f>
        <v>1</v>
      </c>
      <c r="BM46" s="52" t="str">
        <f>VLOOKUP(ROW(BF1),$BF$46:$BK$54,2,FALSE)</f>
        <v>東部フェニックス</v>
      </c>
      <c r="BN46" s="52">
        <f>VLOOKUP(ROW(BF1),$BF$46:$BK$54,3,FALSE)</f>
        <v>16</v>
      </c>
      <c r="BO46" s="52">
        <f>VLOOKUP(ROW(BF1),$BF$46:$BK$54,4,FALSE)</f>
        <v>8</v>
      </c>
      <c r="BP46" s="52">
        <f>VLOOKUP(ROW(BF1),$BF$46:$BK$54,5,FALSE)</f>
        <v>8</v>
      </c>
      <c r="BQ46" s="62"/>
      <c r="BS46" s="49">
        <f>BV46+COUNTIF(BV$45:BV45,BV46)</f>
        <v>5</v>
      </c>
      <c r="BT46" s="51" t="str">
        <f>+BG46</f>
        <v>松戸カージナルス</v>
      </c>
      <c r="BU46" s="49">
        <f>COUNT(B46:AO46)/2</f>
        <v>7</v>
      </c>
      <c r="BV46" s="49">
        <f>RANK(BU46,BU$46:BU$54)</f>
        <v>5</v>
      </c>
      <c r="BW46" s="50">
        <f>VLOOKUP(ROW(BS1),$BS$46:$BV$54,4,FALSE)</f>
        <v>1</v>
      </c>
      <c r="BX46" s="52" t="str">
        <f>VLOOKUP(ROW(BT1),$BS$46:$BV$54,2,FALSE)</f>
        <v>馬橋ドリームス</v>
      </c>
    </row>
    <row r="47" spans="1:76" ht="19.5" customHeight="1">
      <c r="A47" s="107" t="s">
        <v>103</v>
      </c>
      <c r="B47" s="43"/>
      <c r="C47" s="44">
        <v>4</v>
      </c>
      <c r="D47" s="44"/>
      <c r="E47" s="45">
        <v>4</v>
      </c>
      <c r="F47" s="43"/>
      <c r="G47" s="44"/>
      <c r="H47" s="44"/>
      <c r="I47" s="45"/>
      <c r="J47" s="43"/>
      <c r="K47" s="44">
        <f>IF(I48="","",I48)</f>
        <v>3</v>
      </c>
      <c r="L47" s="44"/>
      <c r="M47" s="45">
        <f>IF(G48="","",G48)</f>
        <v>9</v>
      </c>
      <c r="N47" s="43"/>
      <c r="O47" s="44">
        <f>IF(I49="","",I49)</f>
        <v>12</v>
      </c>
      <c r="P47" s="44"/>
      <c r="Q47" s="45">
        <f>IF(G49="","",G49)</f>
        <v>8</v>
      </c>
      <c r="R47" s="43"/>
      <c r="S47" s="44">
        <f>IF(I50="","",I50)</f>
        <v>0</v>
      </c>
      <c r="T47" s="44"/>
      <c r="U47" s="45">
        <f>IF(G50="","",G50)</f>
        <v>18</v>
      </c>
      <c r="V47" s="43"/>
      <c r="W47" s="44">
        <f>IF(I51="","",I51)</f>
        <v>1</v>
      </c>
      <c r="X47" s="44"/>
      <c r="Y47" s="45">
        <f>IF(G51="","",G51)</f>
        <v>16</v>
      </c>
      <c r="Z47" s="43"/>
      <c r="AA47" s="44">
        <f>IF(I52="","",I52)</f>
        <v>5</v>
      </c>
      <c r="AB47" s="44"/>
      <c r="AC47" s="45">
        <f>IF(G52="","",G52)</f>
        <v>14</v>
      </c>
      <c r="AD47" s="43"/>
      <c r="AE47" s="44">
        <f>IF(I53="","",I53)</f>
        <v>7</v>
      </c>
      <c r="AF47" s="44"/>
      <c r="AG47" s="45">
        <f>IF(G53="","",G53)</f>
        <v>7</v>
      </c>
      <c r="AH47" s="43"/>
      <c r="AI47" s="44">
        <f>IF(I54="","",I54)</f>
        <v>1</v>
      </c>
      <c r="AJ47" s="44"/>
      <c r="AK47" s="45">
        <f>IF(G54="","",G54)</f>
        <v>8</v>
      </c>
      <c r="AL47" s="43"/>
      <c r="AM47" s="44">
        <f>IF(I55="","",I55)</f>
      </c>
      <c r="AN47" s="44"/>
      <c r="AO47" s="45">
        <f>IF(G55="","",G55)</f>
      </c>
      <c r="AP47" s="43"/>
      <c r="AQ47" s="44"/>
      <c r="AR47" s="44"/>
      <c r="AS47" s="45"/>
      <c r="AT47" s="47">
        <f t="shared" si="75"/>
        <v>1</v>
      </c>
      <c r="AU47" s="37">
        <f t="shared" si="76"/>
        <v>5</v>
      </c>
      <c r="AV47" s="37">
        <f t="shared" si="77"/>
        <v>2</v>
      </c>
      <c r="AW47" s="38">
        <f t="shared" si="78"/>
        <v>2</v>
      </c>
      <c r="AX47" s="39">
        <f t="shared" si="79"/>
        <v>0</v>
      </c>
      <c r="AY47" s="40">
        <f t="shared" si="80"/>
        <v>2</v>
      </c>
      <c r="AZ47" s="41">
        <f t="shared" si="81"/>
        <v>4</v>
      </c>
      <c r="BA47" s="37">
        <f t="shared" si="82"/>
        <v>33</v>
      </c>
      <c r="BB47" s="37">
        <f t="shared" si="83"/>
        <v>84</v>
      </c>
      <c r="BC47" s="37">
        <f t="shared" si="84"/>
        <v>-51</v>
      </c>
      <c r="BF47" s="49">
        <f>BK47+COUNTIF(BK$45:BK46,BK47)</f>
        <v>6</v>
      </c>
      <c r="BG47" s="51" t="str">
        <f aca="true" t="shared" si="85" ref="BG47:BG54">+A47</f>
        <v>馬橋ドリームス</v>
      </c>
      <c r="BH47" s="49">
        <f aca="true" t="shared" si="86" ref="BH47:BH54">+AZ47</f>
        <v>4</v>
      </c>
      <c r="BI47" s="49">
        <f aca="true" t="shared" si="87" ref="BI47:BI54">+AT47</f>
        <v>1</v>
      </c>
      <c r="BJ47" s="49">
        <f aca="true" t="shared" si="88" ref="BJ47:BJ54">+AT47+AU47+AV47</f>
        <v>8</v>
      </c>
      <c r="BK47" s="49">
        <f aca="true" t="shared" si="89" ref="BK47:BK54">RANK(BH47,BH$46:BH$54)</f>
        <v>6</v>
      </c>
      <c r="BL47" s="50">
        <f aca="true" t="shared" si="90" ref="BL47:BL54">VLOOKUP(ROW(BF2),$BF$46:$BK$54,6,FALSE)</f>
        <v>2</v>
      </c>
      <c r="BM47" s="52" t="str">
        <f aca="true" t="shared" si="91" ref="BM47:BM54">VLOOKUP(ROW(BF2),$BF$46:$BK$54,2,FALSE)</f>
        <v>木刈ファイターズ</v>
      </c>
      <c r="BN47" s="52">
        <f aca="true" t="shared" si="92" ref="BN47:BN54">VLOOKUP(ROW(BF2),$BF$46:$BK$54,3,FALSE)</f>
        <v>14</v>
      </c>
      <c r="BO47" s="52">
        <f aca="true" t="shared" si="93" ref="BO47:BO54">VLOOKUP(ROW(BF2),$BF$46:$BK$54,4,FALSE)</f>
        <v>7</v>
      </c>
      <c r="BP47" s="52">
        <f aca="true" t="shared" si="94" ref="BP47:BP54">VLOOKUP(ROW(BF2),$BF$46:$BK$54,5,FALSE)</f>
        <v>8</v>
      </c>
      <c r="BQ47" s="62"/>
      <c r="BS47" s="49">
        <f>BV47+COUNTIF(BV$45:BV46,BV47)</f>
        <v>1</v>
      </c>
      <c r="BT47" s="51" t="str">
        <f aca="true" t="shared" si="95" ref="BT47:BT54">+BG47</f>
        <v>馬橋ドリームス</v>
      </c>
      <c r="BU47" s="49">
        <f aca="true" t="shared" si="96" ref="BU47:BU54">COUNT(B47:AO47)/2</f>
        <v>8</v>
      </c>
      <c r="BV47" s="49">
        <f aca="true" t="shared" si="97" ref="BV47:BV53">RANK(BU47,BU$46:BU$54)</f>
        <v>1</v>
      </c>
      <c r="BW47" s="50">
        <f aca="true" t="shared" si="98" ref="BW47:BW53">VLOOKUP(ROW(BS2),$BS$46:$BV$54,4,FALSE)</f>
        <v>1</v>
      </c>
      <c r="BX47" s="52" t="str">
        <f aca="true" t="shared" si="99" ref="BX47:BX53">VLOOKUP(ROW(BT2),$BS$46:$BV$54,2,FALSE)</f>
        <v>東部フェニックス</v>
      </c>
    </row>
    <row r="48" spans="1:76" ht="19.5" customHeight="1">
      <c r="A48" s="107" t="s">
        <v>112</v>
      </c>
      <c r="B48" s="43"/>
      <c r="C48" s="44">
        <v>7</v>
      </c>
      <c r="D48" s="44"/>
      <c r="E48" s="45">
        <v>6</v>
      </c>
      <c r="F48" s="43"/>
      <c r="G48" s="44">
        <v>9</v>
      </c>
      <c r="H48" s="44"/>
      <c r="I48" s="45">
        <v>3</v>
      </c>
      <c r="J48" s="43"/>
      <c r="K48" s="44"/>
      <c r="L48" s="44"/>
      <c r="M48" s="45"/>
      <c r="N48" s="43"/>
      <c r="O48" s="44">
        <f>IF(M49="","",M49)</f>
      </c>
      <c r="P48" s="44"/>
      <c r="Q48" s="45">
        <f>IF(K49="","",K49)</f>
      </c>
      <c r="R48" s="43"/>
      <c r="S48" s="44">
        <f>IF(M50="","",M50)</f>
        <v>3</v>
      </c>
      <c r="T48" s="44"/>
      <c r="U48" s="45">
        <f>IF(K50="","",K50)</f>
        <v>4</v>
      </c>
      <c r="V48" s="43"/>
      <c r="W48" s="44">
        <f>IF(M51="","",M51)</f>
        <v>11</v>
      </c>
      <c r="X48" s="44"/>
      <c r="Y48" s="45">
        <f>IF(K51="","",K51)</f>
        <v>1</v>
      </c>
      <c r="Z48" s="43"/>
      <c r="AA48" s="44">
        <f>IF(M52="","",M52)</f>
        <v>8</v>
      </c>
      <c r="AB48" s="44"/>
      <c r="AC48" s="45">
        <f>IF(K52="","",K52)</f>
        <v>14</v>
      </c>
      <c r="AD48" s="43"/>
      <c r="AE48" s="44">
        <f>IF(M53="","",M53)</f>
        <v>26</v>
      </c>
      <c r="AF48" s="44"/>
      <c r="AG48" s="45">
        <f>IF(K53="","",K53)</f>
        <v>2</v>
      </c>
      <c r="AH48" s="43"/>
      <c r="AI48" s="44">
        <f>IF(M54="","",M54)</f>
        <v>1</v>
      </c>
      <c r="AJ48" s="44"/>
      <c r="AK48" s="45">
        <f>IF(K54="","",K54)</f>
        <v>6</v>
      </c>
      <c r="AL48" s="43"/>
      <c r="AM48" s="44">
        <f>IF(M55="","",M55)</f>
      </c>
      <c r="AN48" s="44"/>
      <c r="AO48" s="45">
        <f>IF(K55="","",K55)</f>
      </c>
      <c r="AP48" s="43"/>
      <c r="AQ48" s="44"/>
      <c r="AR48" s="44"/>
      <c r="AS48" s="45"/>
      <c r="AT48" s="47">
        <f t="shared" si="75"/>
        <v>4</v>
      </c>
      <c r="AU48" s="37">
        <f t="shared" si="76"/>
        <v>3</v>
      </c>
      <c r="AV48" s="37">
        <f t="shared" si="77"/>
        <v>0</v>
      </c>
      <c r="AW48" s="38">
        <f t="shared" si="78"/>
        <v>8</v>
      </c>
      <c r="AX48" s="39">
        <f t="shared" si="79"/>
        <v>0</v>
      </c>
      <c r="AY48" s="40">
        <f t="shared" si="80"/>
        <v>0</v>
      </c>
      <c r="AZ48" s="41">
        <f t="shared" si="81"/>
        <v>8</v>
      </c>
      <c r="BA48" s="37">
        <f t="shared" si="82"/>
        <v>65</v>
      </c>
      <c r="BB48" s="37">
        <f t="shared" si="83"/>
        <v>36</v>
      </c>
      <c r="BC48" s="37">
        <f t="shared" si="84"/>
        <v>29</v>
      </c>
      <c r="BF48" s="49">
        <f>BK48+COUNTIF(BK$45:BK47,BK48)</f>
        <v>3</v>
      </c>
      <c r="BG48" s="51" t="str">
        <f t="shared" si="85"/>
        <v>牧の原ジュニアーズ</v>
      </c>
      <c r="BH48" s="49">
        <f t="shared" si="86"/>
        <v>8</v>
      </c>
      <c r="BI48" s="49">
        <f t="shared" si="87"/>
        <v>4</v>
      </c>
      <c r="BJ48" s="49">
        <f t="shared" si="88"/>
        <v>7</v>
      </c>
      <c r="BK48" s="49">
        <f t="shared" si="89"/>
        <v>3</v>
      </c>
      <c r="BL48" s="50">
        <f t="shared" si="90"/>
        <v>3</v>
      </c>
      <c r="BM48" s="52" t="str">
        <f t="shared" si="91"/>
        <v>牧の原ジュニアーズ</v>
      </c>
      <c r="BN48" s="52">
        <f t="shared" si="92"/>
        <v>8</v>
      </c>
      <c r="BO48" s="52">
        <f t="shared" si="93"/>
        <v>4</v>
      </c>
      <c r="BP48" s="52">
        <f t="shared" si="94"/>
        <v>7</v>
      </c>
      <c r="BQ48" s="62"/>
      <c r="BS48" s="49">
        <f>BV48+COUNTIF(BV$45:BV47,BV48)</f>
        <v>6</v>
      </c>
      <c r="BT48" s="51" t="str">
        <f t="shared" si="95"/>
        <v>牧の原ジュニアーズ</v>
      </c>
      <c r="BU48" s="49">
        <f t="shared" si="96"/>
        <v>7</v>
      </c>
      <c r="BV48" s="49">
        <f t="shared" si="97"/>
        <v>5</v>
      </c>
      <c r="BW48" s="50">
        <f t="shared" si="98"/>
        <v>1</v>
      </c>
      <c r="BX48" s="52" t="str">
        <f t="shared" si="99"/>
        <v>新木ファイターズ</v>
      </c>
    </row>
    <row r="49" spans="1:76" ht="19.5" customHeight="1">
      <c r="A49" s="107" t="s">
        <v>99</v>
      </c>
      <c r="B49" s="43"/>
      <c r="C49" s="44">
        <v>11</v>
      </c>
      <c r="D49" s="44"/>
      <c r="E49" s="45">
        <v>5</v>
      </c>
      <c r="F49" s="43"/>
      <c r="G49" s="44">
        <v>8</v>
      </c>
      <c r="H49" s="44"/>
      <c r="I49" s="45">
        <v>12</v>
      </c>
      <c r="J49" s="43"/>
      <c r="K49" s="44"/>
      <c r="L49" s="44"/>
      <c r="M49" s="45"/>
      <c r="N49" s="43"/>
      <c r="O49" s="44"/>
      <c r="P49" s="44"/>
      <c r="Q49" s="45"/>
      <c r="R49" s="43"/>
      <c r="S49" s="44">
        <f>IF(Q50="","",Q50)</f>
        <v>0</v>
      </c>
      <c r="T49" s="44"/>
      <c r="U49" s="45">
        <f>IF(O50="","",O50)</f>
        <v>12</v>
      </c>
      <c r="V49" s="43"/>
      <c r="W49" s="44">
        <f>IF(Q51="","",Q51)</f>
      </c>
      <c r="X49" s="44"/>
      <c r="Y49" s="45">
        <f>IF(O51="","",O51)</f>
      </c>
      <c r="Z49" s="43"/>
      <c r="AA49" s="44">
        <f>IF(Q52="","",Q52)</f>
        <v>19</v>
      </c>
      <c r="AB49" s="44"/>
      <c r="AC49" s="45">
        <f>IF(O52="","",O52)</f>
        <v>4</v>
      </c>
      <c r="AD49" s="43"/>
      <c r="AE49" s="44">
        <f>IF(Q53="","",Q53)</f>
        <v>7</v>
      </c>
      <c r="AF49" s="44"/>
      <c r="AG49" s="45">
        <f>IF(O53="","",O53)</f>
        <v>2</v>
      </c>
      <c r="AH49" s="43"/>
      <c r="AI49" s="44">
        <f>IF(Q54="","",Q54)</f>
        <v>2</v>
      </c>
      <c r="AJ49" s="44"/>
      <c r="AK49" s="45">
        <f>IF(O54="","",O54)</f>
        <v>23</v>
      </c>
      <c r="AL49" s="43"/>
      <c r="AM49" s="44">
        <f>IF(Q55="","",Q55)</f>
      </c>
      <c r="AN49" s="44"/>
      <c r="AO49" s="45">
        <f>IF(O55="","",O55)</f>
      </c>
      <c r="AP49" s="43"/>
      <c r="AQ49" s="44"/>
      <c r="AR49" s="44"/>
      <c r="AS49" s="45"/>
      <c r="AT49" s="47">
        <f t="shared" si="75"/>
        <v>3</v>
      </c>
      <c r="AU49" s="37">
        <f t="shared" si="76"/>
        <v>3</v>
      </c>
      <c r="AV49" s="37">
        <f t="shared" si="77"/>
        <v>0</v>
      </c>
      <c r="AW49" s="38">
        <f t="shared" si="78"/>
        <v>6</v>
      </c>
      <c r="AX49" s="39">
        <f t="shared" si="79"/>
        <v>0</v>
      </c>
      <c r="AY49" s="40">
        <f t="shared" si="80"/>
        <v>0</v>
      </c>
      <c r="AZ49" s="41">
        <f t="shared" si="81"/>
        <v>6</v>
      </c>
      <c r="BA49" s="37">
        <f t="shared" si="82"/>
        <v>47</v>
      </c>
      <c r="BB49" s="37">
        <f t="shared" si="83"/>
        <v>58</v>
      </c>
      <c r="BC49" s="37">
        <f t="shared" si="84"/>
        <v>-11</v>
      </c>
      <c r="BF49" s="49">
        <f>BK49+COUNTIF(BK$45:BK48,BK49)</f>
        <v>4</v>
      </c>
      <c r="BG49" s="51" t="str">
        <f t="shared" si="85"/>
        <v>梅郷パワーズ</v>
      </c>
      <c r="BH49" s="49">
        <f t="shared" si="86"/>
        <v>6</v>
      </c>
      <c r="BI49" s="49">
        <f t="shared" si="87"/>
        <v>3</v>
      </c>
      <c r="BJ49" s="49">
        <f t="shared" si="88"/>
        <v>6</v>
      </c>
      <c r="BK49" s="49">
        <f t="shared" si="89"/>
        <v>4</v>
      </c>
      <c r="BL49" s="50">
        <f t="shared" si="90"/>
        <v>4</v>
      </c>
      <c r="BM49" s="52" t="str">
        <f t="shared" si="91"/>
        <v>梅郷パワーズ</v>
      </c>
      <c r="BN49" s="52">
        <f t="shared" si="92"/>
        <v>6</v>
      </c>
      <c r="BO49" s="52">
        <f t="shared" si="93"/>
        <v>3</v>
      </c>
      <c r="BP49" s="52">
        <f t="shared" si="94"/>
        <v>6</v>
      </c>
      <c r="BQ49" s="62"/>
      <c r="BS49" s="49">
        <f>BV49+COUNTIF(BV$45:BV48,BV49)</f>
        <v>7</v>
      </c>
      <c r="BT49" s="51" t="str">
        <f t="shared" si="95"/>
        <v>梅郷パワーズ</v>
      </c>
      <c r="BU49" s="49">
        <f t="shared" si="96"/>
        <v>6</v>
      </c>
      <c r="BV49" s="49">
        <f t="shared" si="97"/>
        <v>7</v>
      </c>
      <c r="BW49" s="50">
        <f t="shared" si="98"/>
        <v>1</v>
      </c>
      <c r="BX49" s="52" t="str">
        <f t="shared" si="99"/>
        <v>木刈ファイターズ</v>
      </c>
    </row>
    <row r="50" spans="1:76" ht="19.5" customHeight="1">
      <c r="A50" s="107" t="s">
        <v>130</v>
      </c>
      <c r="B50" s="43"/>
      <c r="C50" s="44">
        <v>5</v>
      </c>
      <c r="D50" s="44"/>
      <c r="E50" s="45">
        <v>0</v>
      </c>
      <c r="F50" s="43"/>
      <c r="G50" s="44">
        <v>18</v>
      </c>
      <c r="H50" s="44"/>
      <c r="I50" s="45">
        <v>0</v>
      </c>
      <c r="J50" s="43"/>
      <c r="K50" s="44">
        <v>4</v>
      </c>
      <c r="L50" s="44"/>
      <c r="M50" s="45">
        <v>3</v>
      </c>
      <c r="N50" s="43"/>
      <c r="O50" s="44">
        <v>12</v>
      </c>
      <c r="P50" s="44"/>
      <c r="Q50" s="45">
        <v>0</v>
      </c>
      <c r="R50" s="43"/>
      <c r="S50" s="44"/>
      <c r="T50" s="44"/>
      <c r="U50" s="45"/>
      <c r="V50" s="43"/>
      <c r="W50" s="44">
        <f>IF(U51="","",U51)</f>
        <v>17</v>
      </c>
      <c r="X50" s="44"/>
      <c r="Y50" s="45">
        <f>IF(S51="","",S51)</f>
        <v>0</v>
      </c>
      <c r="Z50" s="43"/>
      <c r="AA50" s="44">
        <f>IF(U52="","",U52)</f>
        <v>26</v>
      </c>
      <c r="AB50" s="44"/>
      <c r="AC50" s="45">
        <f>IF(S52="","",S52)</f>
        <v>2</v>
      </c>
      <c r="AD50" s="43"/>
      <c r="AE50" s="44">
        <f>IF(U53="","",U53)</f>
        <v>32</v>
      </c>
      <c r="AF50" s="44"/>
      <c r="AG50" s="45">
        <f>IF(S53="","",S53)</f>
        <v>1</v>
      </c>
      <c r="AH50" s="43"/>
      <c r="AI50" s="44">
        <f>IF(U54="","",U54)</f>
        <v>1</v>
      </c>
      <c r="AJ50" s="44"/>
      <c r="AK50" s="45">
        <f>IF(S54="","",S54)</f>
        <v>0</v>
      </c>
      <c r="AL50" s="43"/>
      <c r="AM50" s="44">
        <f>IF(U55="","",U55)</f>
      </c>
      <c r="AN50" s="44"/>
      <c r="AO50" s="45">
        <f>IF(S55="","",S55)</f>
      </c>
      <c r="AP50" s="43"/>
      <c r="AQ50" s="44"/>
      <c r="AR50" s="44"/>
      <c r="AS50" s="45"/>
      <c r="AT50" s="47">
        <f t="shared" si="75"/>
        <v>8</v>
      </c>
      <c r="AU50" s="37">
        <f t="shared" si="76"/>
        <v>0</v>
      </c>
      <c r="AV50" s="37">
        <f t="shared" si="77"/>
        <v>0</v>
      </c>
      <c r="AW50" s="38">
        <f t="shared" si="78"/>
        <v>16</v>
      </c>
      <c r="AX50" s="39">
        <f t="shared" si="79"/>
        <v>0</v>
      </c>
      <c r="AY50" s="40">
        <f t="shared" si="80"/>
        <v>0</v>
      </c>
      <c r="AZ50" s="41">
        <f t="shared" si="81"/>
        <v>16</v>
      </c>
      <c r="BA50" s="37">
        <f t="shared" si="82"/>
        <v>115</v>
      </c>
      <c r="BB50" s="37">
        <f t="shared" si="83"/>
        <v>6</v>
      </c>
      <c r="BC50" s="37">
        <f t="shared" si="84"/>
        <v>109</v>
      </c>
      <c r="BF50" s="49">
        <f>BK50+COUNTIF(BK$45:BK49,BK50)</f>
        <v>1</v>
      </c>
      <c r="BG50" s="51" t="str">
        <f t="shared" si="85"/>
        <v>東部フェニックス</v>
      </c>
      <c r="BH50" s="49">
        <f t="shared" si="86"/>
        <v>16</v>
      </c>
      <c r="BI50" s="49">
        <f t="shared" si="87"/>
        <v>8</v>
      </c>
      <c r="BJ50" s="49">
        <f t="shared" si="88"/>
        <v>8</v>
      </c>
      <c r="BK50" s="49">
        <f t="shared" si="89"/>
        <v>1</v>
      </c>
      <c r="BL50" s="50">
        <f t="shared" si="90"/>
        <v>4</v>
      </c>
      <c r="BM50" s="52" t="str">
        <f t="shared" si="91"/>
        <v>柏南ギャランツ</v>
      </c>
      <c r="BN50" s="52">
        <f t="shared" si="92"/>
        <v>6</v>
      </c>
      <c r="BO50" s="52">
        <f t="shared" si="93"/>
        <v>3</v>
      </c>
      <c r="BP50" s="52">
        <f t="shared" si="94"/>
        <v>6</v>
      </c>
      <c r="BQ50" s="62"/>
      <c r="BS50" s="49">
        <f>BV50+COUNTIF(BV$45:BV49,BV50)</f>
        <v>2</v>
      </c>
      <c r="BT50" s="51" t="str">
        <f t="shared" si="95"/>
        <v>東部フェニックス</v>
      </c>
      <c r="BU50" s="49">
        <f t="shared" si="96"/>
        <v>8</v>
      </c>
      <c r="BV50" s="49">
        <f t="shared" si="97"/>
        <v>1</v>
      </c>
      <c r="BW50" s="50">
        <f t="shared" si="98"/>
        <v>5</v>
      </c>
      <c r="BX50" s="52" t="str">
        <f t="shared" si="99"/>
        <v>松戸カージナルス</v>
      </c>
    </row>
    <row r="51" spans="1:76" ht="19.5" customHeight="1">
      <c r="A51" s="107" t="s">
        <v>131</v>
      </c>
      <c r="B51" s="43"/>
      <c r="C51" s="44">
        <v>10</v>
      </c>
      <c r="D51" s="44"/>
      <c r="E51" s="45">
        <v>8</v>
      </c>
      <c r="F51" s="43"/>
      <c r="G51" s="44">
        <v>16</v>
      </c>
      <c r="H51" s="44"/>
      <c r="I51" s="45">
        <v>1</v>
      </c>
      <c r="J51" s="43"/>
      <c r="K51" s="44">
        <v>1</v>
      </c>
      <c r="L51" s="44"/>
      <c r="M51" s="45">
        <v>11</v>
      </c>
      <c r="N51" s="43"/>
      <c r="O51" s="44"/>
      <c r="P51" s="44"/>
      <c r="Q51" s="45"/>
      <c r="R51" s="43"/>
      <c r="S51" s="44">
        <v>0</v>
      </c>
      <c r="T51" s="44"/>
      <c r="U51" s="45">
        <v>17</v>
      </c>
      <c r="V51" s="43"/>
      <c r="W51" s="44"/>
      <c r="X51" s="44"/>
      <c r="Y51" s="45"/>
      <c r="Z51" s="43"/>
      <c r="AA51" s="44">
        <f>IF(Y52="","",Y52)</f>
      </c>
      <c r="AB51" s="44"/>
      <c r="AC51" s="45">
        <f>IF(W52="","",W52)</f>
      </c>
      <c r="AD51" s="43"/>
      <c r="AE51" s="44">
        <f>IF(Y53="","",Y53)</f>
        <v>7</v>
      </c>
      <c r="AF51" s="44"/>
      <c r="AG51" s="45">
        <f>IF(W53="","",W53)</f>
        <v>5</v>
      </c>
      <c r="AH51" s="43"/>
      <c r="AI51" s="44">
        <f>IF(Y54="","",Y54)</f>
        <v>6</v>
      </c>
      <c r="AJ51" s="44"/>
      <c r="AK51" s="45">
        <f>IF(W54="","",W54)</f>
        <v>7</v>
      </c>
      <c r="AL51" s="43"/>
      <c r="AM51" s="44">
        <f>IF(Y55="","",Y55)</f>
      </c>
      <c r="AN51" s="44"/>
      <c r="AO51" s="45">
        <f>IF(W55="","",W55)</f>
      </c>
      <c r="AP51" s="43"/>
      <c r="AQ51" s="44"/>
      <c r="AR51" s="44"/>
      <c r="AS51" s="45"/>
      <c r="AT51" s="47">
        <f t="shared" si="75"/>
        <v>3</v>
      </c>
      <c r="AU51" s="37">
        <f t="shared" si="76"/>
        <v>3</v>
      </c>
      <c r="AV51" s="37">
        <f t="shared" si="77"/>
        <v>0</v>
      </c>
      <c r="AW51" s="38">
        <f t="shared" si="78"/>
        <v>6</v>
      </c>
      <c r="AX51" s="39">
        <f t="shared" si="79"/>
        <v>0</v>
      </c>
      <c r="AY51" s="40">
        <f t="shared" si="80"/>
        <v>0</v>
      </c>
      <c r="AZ51" s="41">
        <f t="shared" si="81"/>
        <v>6</v>
      </c>
      <c r="BA51" s="37">
        <f t="shared" si="82"/>
        <v>40</v>
      </c>
      <c r="BB51" s="37">
        <f t="shared" si="83"/>
        <v>49</v>
      </c>
      <c r="BC51" s="37">
        <f t="shared" si="84"/>
        <v>-9</v>
      </c>
      <c r="BF51" s="49">
        <f>BK51+COUNTIF(BK$45:BK50,BK51)</f>
        <v>5</v>
      </c>
      <c r="BG51" s="51" t="str">
        <f t="shared" si="85"/>
        <v>柏南ギャランツ</v>
      </c>
      <c r="BH51" s="49">
        <f t="shared" si="86"/>
        <v>6</v>
      </c>
      <c r="BI51" s="49">
        <f t="shared" si="87"/>
        <v>3</v>
      </c>
      <c r="BJ51" s="49">
        <f t="shared" si="88"/>
        <v>6</v>
      </c>
      <c r="BK51" s="49">
        <f t="shared" si="89"/>
        <v>4</v>
      </c>
      <c r="BL51" s="50">
        <f t="shared" si="90"/>
        <v>6</v>
      </c>
      <c r="BM51" s="52" t="str">
        <f t="shared" si="91"/>
        <v>馬橋ドリームス</v>
      </c>
      <c r="BN51" s="52">
        <f t="shared" si="92"/>
        <v>4</v>
      </c>
      <c r="BO51" s="52">
        <f t="shared" si="93"/>
        <v>1</v>
      </c>
      <c r="BP51" s="52">
        <f t="shared" si="94"/>
        <v>8</v>
      </c>
      <c r="BQ51" s="62"/>
      <c r="BS51" s="49">
        <f>BV51+COUNTIF(BV$45:BV50,BV51)</f>
        <v>8</v>
      </c>
      <c r="BT51" s="51" t="str">
        <f t="shared" si="95"/>
        <v>柏南ギャランツ</v>
      </c>
      <c r="BU51" s="49">
        <f t="shared" si="96"/>
        <v>6</v>
      </c>
      <c r="BV51" s="49">
        <f t="shared" si="97"/>
        <v>7</v>
      </c>
      <c r="BW51" s="50">
        <f t="shared" si="98"/>
        <v>5</v>
      </c>
      <c r="BX51" s="52" t="str">
        <f t="shared" si="99"/>
        <v>牧の原ジュニアーズ</v>
      </c>
    </row>
    <row r="52" spans="1:76" ht="19.5" customHeight="1">
      <c r="A52" s="107" t="s">
        <v>132</v>
      </c>
      <c r="B52" s="43"/>
      <c r="C52" s="44"/>
      <c r="D52" s="44"/>
      <c r="E52" s="45"/>
      <c r="F52" s="43"/>
      <c r="G52" s="44">
        <v>14</v>
      </c>
      <c r="H52" s="44"/>
      <c r="I52" s="45">
        <v>5</v>
      </c>
      <c r="J52" s="43"/>
      <c r="K52" s="44">
        <v>14</v>
      </c>
      <c r="L52" s="44"/>
      <c r="M52" s="45">
        <v>8</v>
      </c>
      <c r="N52" s="43"/>
      <c r="O52" s="44">
        <v>4</v>
      </c>
      <c r="P52" s="44"/>
      <c r="Q52" s="45">
        <v>19</v>
      </c>
      <c r="R52" s="43"/>
      <c r="S52" s="44">
        <v>2</v>
      </c>
      <c r="T52" s="44"/>
      <c r="U52" s="45">
        <v>26</v>
      </c>
      <c r="V52" s="43"/>
      <c r="W52" s="44"/>
      <c r="X52" s="44"/>
      <c r="Y52" s="45"/>
      <c r="Z52" s="43"/>
      <c r="AA52" s="44"/>
      <c r="AB52" s="44"/>
      <c r="AC52" s="45"/>
      <c r="AD52" s="43"/>
      <c r="AE52" s="44">
        <f>IF(AC53="","",AC53)</f>
        <v>4</v>
      </c>
      <c r="AF52" s="44"/>
      <c r="AG52" s="45">
        <f>IF(AA53="","",AA53)</f>
        <v>13</v>
      </c>
      <c r="AH52" s="43"/>
      <c r="AI52" s="44">
        <f>IF(AC54="","",AC54)</f>
        <v>0</v>
      </c>
      <c r="AJ52" s="44"/>
      <c r="AK52" s="45">
        <f>IF(AA54="","",AA54)</f>
        <v>10</v>
      </c>
      <c r="AL52" s="43"/>
      <c r="AM52" s="44">
        <f>IF(AC55="","",AC55)</f>
      </c>
      <c r="AN52" s="44"/>
      <c r="AO52" s="45">
        <f>IF(AA55="","",AA55)</f>
      </c>
      <c r="AP52" s="43"/>
      <c r="AQ52" s="44"/>
      <c r="AR52" s="44"/>
      <c r="AS52" s="45"/>
      <c r="AT52" s="47">
        <f t="shared" si="75"/>
        <v>2</v>
      </c>
      <c r="AU52" s="37">
        <f t="shared" si="76"/>
        <v>4</v>
      </c>
      <c r="AV52" s="37">
        <f t="shared" si="77"/>
        <v>0</v>
      </c>
      <c r="AW52" s="38">
        <f t="shared" si="78"/>
        <v>4</v>
      </c>
      <c r="AX52" s="39">
        <f t="shared" si="79"/>
        <v>0</v>
      </c>
      <c r="AY52" s="40">
        <f t="shared" si="80"/>
        <v>0</v>
      </c>
      <c r="AZ52" s="41">
        <f t="shared" si="81"/>
        <v>4</v>
      </c>
      <c r="BA52" s="37">
        <f t="shared" si="82"/>
        <v>38</v>
      </c>
      <c r="BB52" s="37">
        <f t="shared" si="83"/>
        <v>81</v>
      </c>
      <c r="BC52" s="37">
        <f t="shared" si="84"/>
        <v>-43</v>
      </c>
      <c r="BF52" s="49">
        <f>BK52+COUNTIF(BK$45:BK51,BK52)</f>
        <v>7</v>
      </c>
      <c r="BG52" s="51" t="str">
        <f t="shared" si="85"/>
        <v>大津ケ丘ファイタース</v>
      </c>
      <c r="BH52" s="49">
        <f t="shared" si="86"/>
        <v>4</v>
      </c>
      <c r="BI52" s="49">
        <f t="shared" si="87"/>
        <v>2</v>
      </c>
      <c r="BJ52" s="49">
        <f t="shared" si="88"/>
        <v>6</v>
      </c>
      <c r="BK52" s="49">
        <f t="shared" si="89"/>
        <v>6</v>
      </c>
      <c r="BL52" s="50">
        <f t="shared" si="90"/>
        <v>6</v>
      </c>
      <c r="BM52" s="52" t="str">
        <f t="shared" si="91"/>
        <v>大津ケ丘ファイタース</v>
      </c>
      <c r="BN52" s="52">
        <f t="shared" si="92"/>
        <v>4</v>
      </c>
      <c r="BO52" s="52">
        <f t="shared" si="93"/>
        <v>2</v>
      </c>
      <c r="BP52" s="52">
        <f t="shared" si="94"/>
        <v>6</v>
      </c>
      <c r="BQ52" s="62"/>
      <c r="BS52" s="49">
        <f>BV52+COUNTIF(BV$45:BV51,BV52)</f>
        <v>9</v>
      </c>
      <c r="BT52" s="51" t="str">
        <f t="shared" si="95"/>
        <v>大津ケ丘ファイタース</v>
      </c>
      <c r="BU52" s="49">
        <f t="shared" si="96"/>
        <v>6</v>
      </c>
      <c r="BV52" s="49">
        <f t="shared" si="97"/>
        <v>7</v>
      </c>
      <c r="BW52" s="50">
        <f t="shared" si="98"/>
        <v>7</v>
      </c>
      <c r="BX52" s="52" t="str">
        <f t="shared" si="99"/>
        <v>梅郷パワーズ</v>
      </c>
    </row>
    <row r="53" spans="1:76" ht="19.5" customHeight="1">
      <c r="A53" s="107" t="s">
        <v>123</v>
      </c>
      <c r="B53" s="43"/>
      <c r="C53" s="44">
        <v>5</v>
      </c>
      <c r="D53" s="44"/>
      <c r="E53" s="45">
        <v>5</v>
      </c>
      <c r="F53" s="43"/>
      <c r="G53" s="44">
        <v>7</v>
      </c>
      <c r="H53" s="44"/>
      <c r="I53" s="45">
        <v>7</v>
      </c>
      <c r="J53" s="43"/>
      <c r="K53" s="44">
        <v>2</v>
      </c>
      <c r="L53" s="44"/>
      <c r="M53" s="45">
        <v>26</v>
      </c>
      <c r="N53" s="43"/>
      <c r="O53" s="44">
        <v>2</v>
      </c>
      <c r="P53" s="44"/>
      <c r="Q53" s="45">
        <v>7</v>
      </c>
      <c r="R53" s="43"/>
      <c r="S53" s="44">
        <v>1</v>
      </c>
      <c r="T53" s="44"/>
      <c r="U53" s="45">
        <v>32</v>
      </c>
      <c r="V53" s="43"/>
      <c r="W53" s="44">
        <v>5</v>
      </c>
      <c r="X53" s="44"/>
      <c r="Y53" s="45">
        <v>7</v>
      </c>
      <c r="Z53" s="43"/>
      <c r="AA53" s="44">
        <v>13</v>
      </c>
      <c r="AB53" s="44"/>
      <c r="AC53" s="45">
        <v>4</v>
      </c>
      <c r="AD53" s="43"/>
      <c r="AE53" s="44"/>
      <c r="AF53" s="44"/>
      <c r="AG53" s="45"/>
      <c r="AH53" s="43"/>
      <c r="AI53" s="44">
        <f>IF(AG54="","",AG54)</f>
        <v>1</v>
      </c>
      <c r="AJ53" s="44"/>
      <c r="AK53" s="45">
        <f>IF(AE54="","",AE54)</f>
        <v>11</v>
      </c>
      <c r="AL53" s="43"/>
      <c r="AM53" s="44">
        <f>IF(AG55="","",AG55)</f>
      </c>
      <c r="AN53" s="44"/>
      <c r="AO53" s="45">
        <f>IF(AE55="","",AE55)</f>
      </c>
      <c r="AP53" s="43"/>
      <c r="AQ53" s="44"/>
      <c r="AR53" s="44"/>
      <c r="AS53" s="45"/>
      <c r="AT53" s="47">
        <f t="shared" si="75"/>
        <v>1</v>
      </c>
      <c r="AU53" s="37">
        <f t="shared" si="76"/>
        <v>5</v>
      </c>
      <c r="AV53" s="37">
        <f t="shared" si="77"/>
        <v>2</v>
      </c>
      <c r="AW53" s="38">
        <f t="shared" si="78"/>
        <v>2</v>
      </c>
      <c r="AX53" s="39">
        <f t="shared" si="79"/>
        <v>0</v>
      </c>
      <c r="AY53" s="40">
        <f t="shared" si="80"/>
        <v>2</v>
      </c>
      <c r="AZ53" s="41">
        <f t="shared" si="81"/>
        <v>4</v>
      </c>
      <c r="BA53" s="37">
        <f t="shared" si="82"/>
        <v>36</v>
      </c>
      <c r="BB53" s="37">
        <f t="shared" si="83"/>
        <v>99</v>
      </c>
      <c r="BC53" s="37">
        <f t="shared" si="84"/>
        <v>-63</v>
      </c>
      <c r="BF53" s="49">
        <f>BK53+COUNTIF(BK$45:BK52,BK53)</f>
        <v>8</v>
      </c>
      <c r="BG53" s="51" t="str">
        <f t="shared" si="85"/>
        <v>新木ファイターズ</v>
      </c>
      <c r="BH53" s="49">
        <f t="shared" si="86"/>
        <v>4</v>
      </c>
      <c r="BI53" s="49">
        <f t="shared" si="87"/>
        <v>1</v>
      </c>
      <c r="BJ53" s="49">
        <f t="shared" si="88"/>
        <v>8</v>
      </c>
      <c r="BK53" s="49">
        <f t="shared" si="89"/>
        <v>6</v>
      </c>
      <c r="BL53" s="50">
        <f t="shared" si="90"/>
        <v>6</v>
      </c>
      <c r="BM53" s="52" t="str">
        <f t="shared" si="91"/>
        <v>新木ファイターズ</v>
      </c>
      <c r="BN53" s="52">
        <f t="shared" si="92"/>
        <v>4</v>
      </c>
      <c r="BO53" s="52">
        <f t="shared" si="93"/>
        <v>1</v>
      </c>
      <c r="BP53" s="52">
        <f t="shared" si="94"/>
        <v>8</v>
      </c>
      <c r="BQ53" s="62"/>
      <c r="BS53" s="49">
        <f>BV53+COUNTIF(BV$45:BV52,BV53)</f>
        <v>3</v>
      </c>
      <c r="BT53" s="51" t="str">
        <f t="shared" si="95"/>
        <v>新木ファイターズ</v>
      </c>
      <c r="BU53" s="49">
        <f t="shared" si="96"/>
        <v>8</v>
      </c>
      <c r="BV53" s="49">
        <f t="shared" si="97"/>
        <v>1</v>
      </c>
      <c r="BW53" s="50">
        <f t="shared" si="98"/>
        <v>7</v>
      </c>
      <c r="BX53" s="52" t="str">
        <f t="shared" si="99"/>
        <v>柏南ギャランツ</v>
      </c>
    </row>
    <row r="54" spans="1:76" ht="19.5" customHeight="1">
      <c r="A54" s="107" t="s">
        <v>83</v>
      </c>
      <c r="B54" s="43"/>
      <c r="C54" s="44">
        <v>10</v>
      </c>
      <c r="D54" s="44"/>
      <c r="E54" s="45">
        <v>1</v>
      </c>
      <c r="F54" s="43"/>
      <c r="G54" s="44">
        <v>8</v>
      </c>
      <c r="H54" s="44"/>
      <c r="I54" s="45">
        <v>1</v>
      </c>
      <c r="J54" s="43"/>
      <c r="K54" s="44">
        <v>6</v>
      </c>
      <c r="L54" s="44"/>
      <c r="M54" s="45">
        <v>1</v>
      </c>
      <c r="N54" s="43"/>
      <c r="O54" s="44">
        <v>23</v>
      </c>
      <c r="P54" s="44"/>
      <c r="Q54" s="45">
        <v>2</v>
      </c>
      <c r="R54" s="43"/>
      <c r="S54" s="44">
        <v>0</v>
      </c>
      <c r="T54" s="44"/>
      <c r="U54" s="45">
        <v>1</v>
      </c>
      <c r="V54" s="43"/>
      <c r="W54" s="44">
        <v>7</v>
      </c>
      <c r="X54" s="44"/>
      <c r="Y54" s="45">
        <v>6</v>
      </c>
      <c r="Z54" s="43"/>
      <c r="AA54" s="44">
        <v>10</v>
      </c>
      <c r="AB54" s="44"/>
      <c r="AC54" s="45">
        <v>0</v>
      </c>
      <c r="AD54" s="43"/>
      <c r="AE54" s="44">
        <v>11</v>
      </c>
      <c r="AF54" s="44"/>
      <c r="AG54" s="45">
        <v>1</v>
      </c>
      <c r="AH54" s="44"/>
      <c r="AI54" s="44"/>
      <c r="AJ54" s="44"/>
      <c r="AK54" s="44"/>
      <c r="AL54" s="43"/>
      <c r="AM54" s="44">
        <f>IF(AK55="","",AK55)</f>
      </c>
      <c r="AN54" s="44"/>
      <c r="AO54" s="45">
        <f>IF(AI55="","",AI55)</f>
      </c>
      <c r="AP54" s="43"/>
      <c r="AQ54" s="44"/>
      <c r="AR54" s="44"/>
      <c r="AS54" s="45"/>
      <c r="AT54" s="47">
        <f t="shared" si="75"/>
        <v>7</v>
      </c>
      <c r="AU54" s="37">
        <f t="shared" si="76"/>
        <v>1</v>
      </c>
      <c r="AV54" s="37">
        <f t="shared" si="77"/>
        <v>0</v>
      </c>
      <c r="AW54" s="38">
        <f t="shared" si="78"/>
        <v>14</v>
      </c>
      <c r="AX54" s="39">
        <f t="shared" si="79"/>
        <v>0</v>
      </c>
      <c r="AY54" s="40">
        <f t="shared" si="80"/>
        <v>0</v>
      </c>
      <c r="AZ54" s="41">
        <f t="shared" si="81"/>
        <v>14</v>
      </c>
      <c r="BA54" s="37">
        <f t="shared" si="82"/>
        <v>75</v>
      </c>
      <c r="BB54" s="37">
        <f t="shared" si="83"/>
        <v>13</v>
      </c>
      <c r="BC54" s="37">
        <f t="shared" si="84"/>
        <v>62</v>
      </c>
      <c r="BF54" s="49">
        <f>BK54+COUNTIF(BK$45:BK53,BK54)</f>
        <v>2</v>
      </c>
      <c r="BG54" s="51" t="str">
        <f t="shared" si="85"/>
        <v>木刈ファイターズ</v>
      </c>
      <c r="BH54" s="49">
        <f t="shared" si="86"/>
        <v>14</v>
      </c>
      <c r="BI54" s="49">
        <f t="shared" si="87"/>
        <v>7</v>
      </c>
      <c r="BJ54" s="49">
        <f t="shared" si="88"/>
        <v>8</v>
      </c>
      <c r="BK54" s="49">
        <f t="shared" si="89"/>
        <v>2</v>
      </c>
      <c r="BL54" s="50">
        <f t="shared" si="90"/>
        <v>9</v>
      </c>
      <c r="BM54" s="52" t="str">
        <f t="shared" si="91"/>
        <v>松戸カージナルス</v>
      </c>
      <c r="BN54" s="52">
        <f t="shared" si="92"/>
        <v>2</v>
      </c>
      <c r="BO54" s="52">
        <f t="shared" si="93"/>
        <v>0</v>
      </c>
      <c r="BP54" s="52">
        <f t="shared" si="94"/>
        <v>7</v>
      </c>
      <c r="BQ54" s="62"/>
      <c r="BS54" s="49">
        <f>BV54+COUNTIF(BV$45:BV53,BV54)</f>
        <v>4</v>
      </c>
      <c r="BT54" s="51" t="str">
        <f t="shared" si="95"/>
        <v>木刈ファイターズ</v>
      </c>
      <c r="BU54" s="49">
        <f t="shared" si="96"/>
        <v>8</v>
      </c>
      <c r="BV54" s="49">
        <f>RANK(BU54,BU$46:BU$55)</f>
        <v>1</v>
      </c>
      <c r="BW54" s="50">
        <f>VLOOKUP(ROW(BS9),$BS$46:$BV$55,4,FALSE)</f>
        <v>7</v>
      </c>
      <c r="BX54" s="52" t="str">
        <f>VLOOKUP(ROW(BT9),$BS$46:$BV$55,2,FALSE)</f>
        <v>大津ケ丘ファイタース</v>
      </c>
    </row>
    <row r="55" spans="1:76" ht="19.5" customHeight="1">
      <c r="A55" s="107"/>
      <c r="B55" s="43"/>
      <c r="C55" s="44"/>
      <c r="D55" s="44"/>
      <c r="E55" s="45"/>
      <c r="F55" s="43"/>
      <c r="G55" s="44"/>
      <c r="H55" s="44"/>
      <c r="I55" s="45"/>
      <c r="J55" s="43"/>
      <c r="K55" s="44"/>
      <c r="L55" s="44"/>
      <c r="M55" s="45"/>
      <c r="N55" s="43"/>
      <c r="O55" s="44"/>
      <c r="P55" s="44"/>
      <c r="Q55" s="45"/>
      <c r="R55" s="43"/>
      <c r="S55" s="44"/>
      <c r="T55" s="44"/>
      <c r="U55" s="45"/>
      <c r="V55" s="43"/>
      <c r="W55" s="44"/>
      <c r="X55" s="44"/>
      <c r="Y55" s="45"/>
      <c r="Z55" s="43"/>
      <c r="AA55" s="44"/>
      <c r="AB55" s="44"/>
      <c r="AC55" s="45"/>
      <c r="AD55" s="43"/>
      <c r="AE55" s="44"/>
      <c r="AF55" s="44"/>
      <c r="AG55" s="45"/>
      <c r="AH55" s="44"/>
      <c r="AI55" s="44"/>
      <c r="AJ55" s="44"/>
      <c r="AK55" s="44"/>
      <c r="AL55" s="43"/>
      <c r="AM55" s="44"/>
      <c r="AN55" s="44"/>
      <c r="AO55" s="45"/>
      <c r="AP55" s="43"/>
      <c r="AQ55" s="44"/>
      <c r="AR55" s="44"/>
      <c r="AS55" s="45"/>
      <c r="AT55" s="47"/>
      <c r="AU55" s="37"/>
      <c r="AV55" s="37"/>
      <c r="AW55" s="38"/>
      <c r="AX55" s="39"/>
      <c r="AY55" s="40"/>
      <c r="AZ55" s="41"/>
      <c r="BA55" s="37"/>
      <c r="BB55" s="37"/>
      <c r="BC55" s="37"/>
      <c r="BF55" s="49"/>
      <c r="BG55" s="51"/>
      <c r="BH55" s="49"/>
      <c r="BI55" s="49"/>
      <c r="BJ55" s="49"/>
      <c r="BK55" s="49"/>
      <c r="BL55" s="50"/>
      <c r="BM55" s="52"/>
      <c r="BN55" s="52"/>
      <c r="BO55" s="52"/>
      <c r="BP55" s="52"/>
      <c r="BQ55" s="62"/>
      <c r="BS55" s="49"/>
      <c r="BT55" s="51"/>
      <c r="BU55" s="49"/>
      <c r="BV55" s="49"/>
      <c r="BW55" s="50"/>
      <c r="BX55" s="52"/>
    </row>
    <row r="56" spans="1:76" ht="19.5" customHeight="1">
      <c r="A56" s="94"/>
      <c r="B56" s="43"/>
      <c r="C56" s="44"/>
      <c r="D56" s="44"/>
      <c r="E56" s="45"/>
      <c r="F56" s="43"/>
      <c r="G56" s="44"/>
      <c r="H56" s="44"/>
      <c r="I56" s="45"/>
      <c r="J56" s="43"/>
      <c r="K56" s="44"/>
      <c r="L56" s="44"/>
      <c r="M56" s="45"/>
      <c r="N56" s="43"/>
      <c r="O56" s="44"/>
      <c r="P56" s="44"/>
      <c r="Q56" s="45"/>
      <c r="R56" s="43"/>
      <c r="S56" s="44"/>
      <c r="T56" s="44"/>
      <c r="U56" s="45"/>
      <c r="V56" s="43"/>
      <c r="W56" s="44"/>
      <c r="X56" s="44"/>
      <c r="Y56" s="45"/>
      <c r="Z56" s="43"/>
      <c r="AA56" s="44"/>
      <c r="AB56" s="44"/>
      <c r="AC56" s="45"/>
      <c r="AD56" s="43"/>
      <c r="AE56" s="44"/>
      <c r="AF56" s="44"/>
      <c r="AG56" s="45"/>
      <c r="AH56" s="44"/>
      <c r="AI56" s="44"/>
      <c r="AJ56" s="44"/>
      <c r="AK56" s="44"/>
      <c r="AL56" s="43"/>
      <c r="AM56" s="44"/>
      <c r="AN56" s="44"/>
      <c r="AO56" s="45"/>
      <c r="AP56" s="43"/>
      <c r="AQ56" s="44"/>
      <c r="AR56" s="44"/>
      <c r="AS56" s="45"/>
      <c r="AT56" s="47"/>
      <c r="AU56" s="37"/>
      <c r="AV56" s="37"/>
      <c r="AW56" s="38"/>
      <c r="AX56" s="39"/>
      <c r="AY56" s="40"/>
      <c r="AZ56" s="41"/>
      <c r="BA56" s="37"/>
      <c r="BB56" s="37"/>
      <c r="BC56" s="37"/>
      <c r="BF56" s="49"/>
      <c r="BG56" s="51"/>
      <c r="BH56" s="49"/>
      <c r="BI56" s="49"/>
      <c r="BJ56" s="49"/>
      <c r="BK56" s="49"/>
      <c r="BL56" s="50"/>
      <c r="BM56" s="52"/>
      <c r="BN56" s="52"/>
      <c r="BO56" s="52"/>
      <c r="BP56" s="52"/>
      <c r="BQ56" s="62"/>
      <c r="BS56" s="49"/>
      <c r="BT56" s="51"/>
      <c r="BU56" s="49"/>
      <c r="BV56" s="49"/>
      <c r="BW56" s="50"/>
      <c r="BX56" s="52"/>
    </row>
    <row r="57" spans="1:74" ht="19.5" customHeight="1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8"/>
      <c r="AH57" s="8"/>
      <c r="AI57" s="8"/>
      <c r="AJ57" s="8"/>
      <c r="AK57" s="8"/>
      <c r="AL57" s="8"/>
      <c r="AM57" s="8"/>
      <c r="AN57" s="27"/>
      <c r="AO57" s="1"/>
      <c r="AP57" s="1"/>
      <c r="AQ57" s="1"/>
      <c r="AR57" s="1"/>
      <c r="AS57" s="1"/>
      <c r="AT57" s="7">
        <f>SUM(AT46:AT56)</f>
        <v>29</v>
      </c>
      <c r="AU57" s="7">
        <f>SUM(AU46:AU56)</f>
        <v>29</v>
      </c>
      <c r="AV57" s="7">
        <f>SUM(AV46:AV56)</f>
        <v>6</v>
      </c>
      <c r="AW57" s="7"/>
      <c r="AX57" s="7"/>
      <c r="AY57" s="7"/>
      <c r="AZ57" s="7"/>
      <c r="BA57" s="7">
        <f>SUM(BA46:BA56)</f>
        <v>478</v>
      </c>
      <c r="BB57" s="7">
        <f>SUM(BB46:BB56)</f>
        <v>478</v>
      </c>
      <c r="BC57" s="7">
        <f>SUM(BC46:BC56)</f>
        <v>0</v>
      </c>
      <c r="BU57" s="60">
        <f>SUM(BU46:BU56)/2</f>
        <v>32</v>
      </c>
      <c r="BV57" s="3">
        <f>8*9/2</f>
        <v>36</v>
      </c>
    </row>
    <row r="58" spans="1:73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27"/>
      <c r="AO58" s="1"/>
      <c r="AP58" s="1"/>
      <c r="AQ58" s="1"/>
      <c r="AR58" s="1"/>
      <c r="AS58" s="1"/>
      <c r="AT58" s="7"/>
      <c r="AU58" s="7"/>
      <c r="AV58" s="7"/>
      <c r="AW58" s="7"/>
      <c r="AX58" s="7"/>
      <c r="AY58" s="7"/>
      <c r="AZ58" s="7"/>
      <c r="BA58" s="7"/>
      <c r="BB58" s="7"/>
      <c r="BC58" s="7"/>
      <c r="BU58" s="60"/>
    </row>
    <row r="59" spans="1:55" ht="19.5" customHeight="1">
      <c r="A59" s="166" t="s">
        <v>6</v>
      </c>
      <c r="B59" s="166"/>
      <c r="C59" s="166"/>
      <c r="D59" s="166"/>
      <c r="E59" s="166"/>
      <c r="F59" s="166"/>
      <c r="G59" s="166"/>
      <c r="H59" s="166"/>
      <c r="I59" s="1"/>
      <c r="J59" s="1"/>
      <c r="K59" s="1"/>
      <c r="L59" s="1"/>
      <c r="M59" s="1"/>
      <c r="N59" s="1"/>
      <c r="O59" s="14"/>
      <c r="P59" s="7"/>
      <c r="Q59" s="15"/>
      <c r="R59" s="179"/>
      <c r="S59" s="179"/>
      <c r="T59" s="16"/>
      <c r="U59" s="16"/>
      <c r="V59" s="179"/>
      <c r="W59" s="179"/>
      <c r="X59" s="16"/>
      <c r="Y59" s="16"/>
      <c r="Z59" s="16"/>
      <c r="AA59" s="16"/>
      <c r="AB59" s="16"/>
      <c r="AC59" s="16"/>
      <c r="AD59" s="7"/>
      <c r="AE59" s="17"/>
      <c r="AF59" s="17"/>
      <c r="AG59" s="17"/>
      <c r="AH59" s="17"/>
      <c r="AI59" s="17"/>
      <c r="AJ59" s="17"/>
      <c r="AK59" s="17"/>
      <c r="AL59" s="17"/>
      <c r="AM59" s="1"/>
      <c r="AN59" s="2"/>
      <c r="AO59" s="1"/>
      <c r="AP59" s="1"/>
      <c r="AQ59" s="1"/>
      <c r="AR59" s="1"/>
      <c r="AS59" s="1"/>
      <c r="AT59" s="67">
        <f>IF(AT57=AU57,"","計算間違い")</f>
      </c>
      <c r="AU59" s="1"/>
      <c r="AV59" s="1"/>
      <c r="AW59" s="1"/>
      <c r="AX59" s="67">
        <f>IF(AV57/2=TRUNC(AV57/2,0),"","計算間違い")</f>
      </c>
      <c r="AY59" s="1"/>
      <c r="AZ59" s="1"/>
      <c r="BA59" s="1"/>
      <c r="BB59" s="1"/>
      <c r="BC59" s="1"/>
    </row>
    <row r="60" spans="1:55" ht="19.5" customHeight="1">
      <c r="A60" s="79"/>
      <c r="B60" s="1"/>
      <c r="C60" s="1"/>
      <c r="D60" s="1"/>
      <c r="E60" s="6"/>
      <c r="F60" s="6"/>
      <c r="G60" s="127"/>
      <c r="H60" s="83"/>
      <c r="I60" s="83"/>
      <c r="J60" s="83"/>
      <c r="K60" s="83"/>
      <c r="L60" s="10"/>
      <c r="M60" s="10"/>
      <c r="N60" s="10"/>
      <c r="O60" s="10"/>
      <c r="P60" s="10"/>
      <c r="Q60" s="15"/>
      <c r="R60" s="179"/>
      <c r="S60" s="179"/>
      <c r="T60" s="16"/>
      <c r="U60" s="16"/>
      <c r="V60" s="179"/>
      <c r="W60" s="179"/>
      <c r="X60" s="16"/>
      <c r="Y60" s="16"/>
      <c r="Z60" s="16"/>
      <c r="AA60" s="16"/>
      <c r="AB60" s="16"/>
      <c r="AC60" s="16"/>
      <c r="AD60" s="7"/>
      <c r="AE60" s="17"/>
      <c r="AF60" s="17"/>
      <c r="AG60" s="17"/>
      <c r="AH60" s="17"/>
      <c r="AI60" s="17"/>
      <c r="AJ60" s="17"/>
      <c r="AK60" s="17"/>
      <c r="AL60" s="17"/>
      <c r="AM60" s="1"/>
      <c r="AN60" s="2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75" ht="19.5" customHeight="1">
      <c r="A61" s="79"/>
      <c r="B61" s="11"/>
      <c r="C61" s="128"/>
      <c r="D61" s="129"/>
      <c r="E61" s="95"/>
      <c r="F61" s="74"/>
      <c r="G61" s="181"/>
      <c r="H61" s="182"/>
      <c r="I61" s="182"/>
      <c r="J61" s="104"/>
      <c r="K61" s="104"/>
      <c r="L61" s="132"/>
      <c r="M61" s="13"/>
      <c r="N61" s="1"/>
      <c r="O61" s="26"/>
      <c r="P61" s="178"/>
      <c r="Q61" s="178"/>
      <c r="R61" s="179"/>
      <c r="S61" s="179"/>
      <c r="T61" s="180"/>
      <c r="U61" s="180"/>
      <c r="V61" s="179"/>
      <c r="W61" s="179"/>
      <c r="X61" s="180"/>
      <c r="Y61" s="180"/>
      <c r="Z61" s="21"/>
      <c r="AA61" s="21"/>
      <c r="AB61" s="21"/>
      <c r="AC61" s="21"/>
      <c r="AD61" s="178"/>
      <c r="AE61" s="178"/>
      <c r="AF61" s="1"/>
      <c r="AG61" s="1"/>
      <c r="AH61" s="1"/>
      <c r="AI61" s="1"/>
      <c r="AJ61" s="1"/>
      <c r="AK61" s="1"/>
      <c r="AL61" s="1"/>
      <c r="AM61" s="1"/>
      <c r="AN61" s="2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U61" s="60">
        <f>+BU57+BU43+BU29+BU15</f>
        <v>133</v>
      </c>
      <c r="BV61" s="70">
        <f>+BV57+BV43+BV29+BV15</f>
        <v>153</v>
      </c>
      <c r="BW61" s="60">
        <f>+BU61/BV61</f>
        <v>0.869281045751634</v>
      </c>
    </row>
    <row r="62" spans="1:55" ht="19.5" customHeight="1">
      <c r="A62" s="79"/>
      <c r="B62" s="110"/>
      <c r="C62" s="130"/>
      <c r="D62" s="20"/>
      <c r="E62" s="21"/>
      <c r="F62" s="24"/>
      <c r="G62" s="73"/>
      <c r="H62" s="17"/>
      <c r="I62" s="102"/>
      <c r="J62" s="74"/>
      <c r="K62" s="74"/>
      <c r="L62" s="74"/>
      <c r="M62" s="133"/>
      <c r="N62" s="109"/>
      <c r="O62" s="26"/>
      <c r="P62" s="178"/>
      <c r="Q62" s="178"/>
      <c r="R62" s="7"/>
      <c r="S62" s="7"/>
      <c r="T62" s="180"/>
      <c r="U62" s="180"/>
      <c r="V62" s="7"/>
      <c r="W62" s="7"/>
      <c r="X62" s="180"/>
      <c r="Y62" s="180"/>
      <c r="Z62" s="21"/>
      <c r="AA62" s="21"/>
      <c r="AB62" s="21"/>
      <c r="AC62" s="21"/>
      <c r="AD62" s="178"/>
      <c r="AE62" s="178"/>
      <c r="AF62" s="1"/>
      <c r="AG62" s="1"/>
      <c r="AH62" s="1"/>
      <c r="AI62" s="1"/>
      <c r="AJ62" s="1"/>
      <c r="AK62" s="1"/>
      <c r="AL62" s="1"/>
      <c r="AM62" s="1"/>
      <c r="AN62" s="2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9.5" customHeight="1">
      <c r="A63" s="79"/>
      <c r="B63" s="96"/>
      <c r="C63" s="131"/>
      <c r="D63" s="20"/>
      <c r="E63" s="21"/>
      <c r="F63" s="25"/>
      <c r="G63" s="12"/>
      <c r="H63" s="17"/>
      <c r="I63" s="103"/>
      <c r="J63" s="12"/>
      <c r="K63" s="12"/>
      <c r="L63" s="15"/>
      <c r="M63" s="126"/>
      <c r="N63" s="7"/>
      <c r="O63" s="26"/>
      <c r="P63" s="178"/>
      <c r="Q63" s="178"/>
      <c r="R63" s="7"/>
      <c r="S63" s="7"/>
      <c r="T63" s="180"/>
      <c r="U63" s="180"/>
      <c r="V63" s="7"/>
      <c r="W63" s="7"/>
      <c r="X63" s="180"/>
      <c r="Y63" s="180"/>
      <c r="Z63" s="21"/>
      <c r="AA63" s="21"/>
      <c r="AB63" s="21"/>
      <c r="AC63" s="21"/>
      <c r="AD63" s="178"/>
      <c r="AE63" s="178"/>
      <c r="AF63" s="1"/>
      <c r="AG63" s="1"/>
      <c r="AH63" s="1"/>
      <c r="AI63" s="1"/>
      <c r="AJ63" s="1"/>
      <c r="AK63" s="1"/>
      <c r="AL63" s="1"/>
      <c r="AM63" s="1"/>
      <c r="AN63" s="2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9.5" customHeight="1">
      <c r="A64" s="1"/>
      <c r="B64" s="170" t="str">
        <f>+A8</f>
        <v>流山ホークス</v>
      </c>
      <c r="C64" s="171"/>
      <c r="D64" s="28"/>
      <c r="E64" s="28"/>
      <c r="F64" s="170" t="str">
        <f>+A19</f>
        <v>串崎スワローズ</v>
      </c>
      <c r="G64" s="171"/>
      <c r="H64" s="29"/>
      <c r="I64" s="170" t="str">
        <f>+A38</f>
        <v>柏ボーイング</v>
      </c>
      <c r="J64" s="171"/>
      <c r="K64" s="30"/>
      <c r="L64" s="30"/>
      <c r="M64" s="170" t="str">
        <f>+A50</f>
        <v>東部フェニックス</v>
      </c>
      <c r="N64" s="171"/>
      <c r="O64" s="26"/>
      <c r="P64" s="178"/>
      <c r="Q64" s="178"/>
      <c r="R64" s="7"/>
      <c r="S64" s="7"/>
      <c r="T64" s="180"/>
      <c r="U64" s="180"/>
      <c r="V64" s="7"/>
      <c r="W64" s="7"/>
      <c r="X64" s="180"/>
      <c r="Y64" s="180"/>
      <c r="Z64" s="21"/>
      <c r="AA64" s="21"/>
      <c r="AB64" s="21"/>
      <c r="AC64" s="21"/>
      <c r="AD64" s="178"/>
      <c r="AE64" s="178"/>
      <c r="AF64" s="1"/>
      <c r="AG64" s="1"/>
      <c r="AH64" s="1"/>
      <c r="AI64" s="1"/>
      <c r="AJ64" s="1"/>
      <c r="AK64" s="1"/>
      <c r="AL64" s="1"/>
      <c r="AM64" s="1"/>
      <c r="AN64" s="2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19.5" customHeight="1">
      <c r="A65" s="1"/>
      <c r="B65" s="172"/>
      <c r="C65" s="173"/>
      <c r="D65" s="28"/>
      <c r="E65" s="28"/>
      <c r="F65" s="172"/>
      <c r="G65" s="173"/>
      <c r="H65" s="29"/>
      <c r="I65" s="172"/>
      <c r="J65" s="173"/>
      <c r="K65" s="30"/>
      <c r="L65" s="30"/>
      <c r="M65" s="172"/>
      <c r="N65" s="173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2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19.5" customHeight="1">
      <c r="A66" s="1"/>
      <c r="B66" s="172"/>
      <c r="C66" s="173"/>
      <c r="D66" s="28"/>
      <c r="E66" s="28"/>
      <c r="F66" s="172"/>
      <c r="G66" s="173"/>
      <c r="H66" s="29"/>
      <c r="I66" s="172"/>
      <c r="J66" s="173"/>
      <c r="K66" s="30"/>
      <c r="L66" s="30"/>
      <c r="M66" s="172"/>
      <c r="N66" s="17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2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60" customHeight="1">
      <c r="A67" s="1"/>
      <c r="B67" s="174"/>
      <c r="C67" s="175"/>
      <c r="D67" s="28"/>
      <c r="E67" s="28"/>
      <c r="F67" s="174"/>
      <c r="G67" s="175"/>
      <c r="H67" s="29"/>
      <c r="I67" s="174"/>
      <c r="J67" s="175"/>
      <c r="K67" s="30"/>
      <c r="L67" s="30"/>
      <c r="M67" s="174"/>
      <c r="N67" s="175"/>
      <c r="O67" s="1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4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2"/>
      <c r="AO68" s="1"/>
      <c r="AP68" s="1"/>
      <c r="AQ68" s="1"/>
      <c r="AR68" s="1"/>
      <c r="AS68" s="1"/>
      <c r="AT68" s="1"/>
      <c r="AU68" s="1"/>
    </row>
    <row r="69" spans="30:47" ht="19.5" customHeight="1"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2"/>
      <c r="AO69" s="1"/>
      <c r="AP69" s="1"/>
      <c r="AQ69" s="1"/>
      <c r="AR69" s="1"/>
      <c r="AS69" s="1"/>
      <c r="AT69" s="1"/>
      <c r="AU69" s="1"/>
    </row>
    <row r="70" spans="3:47" ht="19.5" customHeight="1">
      <c r="C70" s="87">
        <f>+'Ａ戦'!C82</f>
        <v>41185</v>
      </c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2"/>
      <c r="AO70" s="1"/>
      <c r="AP70" s="1"/>
      <c r="AQ70" s="1"/>
      <c r="AR70" s="1"/>
      <c r="AS70" s="1"/>
      <c r="AT70" s="1"/>
      <c r="AU70" s="1"/>
    </row>
    <row r="71" spans="3:47" ht="19.5" customHeight="1">
      <c r="C71" s="87">
        <f>+'Ａ戦'!C83</f>
        <v>41268</v>
      </c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2"/>
      <c r="AO71" s="1"/>
      <c r="AP71" s="1"/>
      <c r="AQ71" s="1"/>
      <c r="AR71" s="1"/>
      <c r="AS71" s="1"/>
      <c r="AT71" s="1"/>
      <c r="AU71" s="1"/>
    </row>
    <row r="72" spans="30:47" ht="19.5" customHeight="1"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2"/>
      <c r="AO72" s="1"/>
      <c r="AP72" s="1"/>
      <c r="AQ72" s="1"/>
      <c r="AR72" s="1"/>
      <c r="AS72" s="1"/>
      <c r="AT72" s="1"/>
      <c r="AU72" s="1"/>
    </row>
    <row r="73" spans="30:47" ht="19.5" customHeight="1"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2"/>
      <c r="AO73" s="1"/>
      <c r="AP73" s="1"/>
      <c r="AQ73" s="1"/>
      <c r="AR73" s="1"/>
      <c r="AS73" s="1"/>
      <c r="AT73" s="1"/>
      <c r="AU73" s="1"/>
    </row>
    <row r="74" spans="30:47" ht="19.5" customHeight="1"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2"/>
      <c r="AO74" s="1"/>
      <c r="AP74" s="1"/>
      <c r="AQ74" s="1"/>
      <c r="AR74" s="1"/>
      <c r="AS74" s="1"/>
      <c r="AT74" s="1"/>
      <c r="AU74" s="1"/>
    </row>
    <row r="75" spans="30:47" ht="19.5" customHeight="1"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2"/>
      <c r="AO75" s="1"/>
      <c r="AP75" s="1"/>
      <c r="AQ75" s="1"/>
      <c r="AR75" s="1"/>
      <c r="AS75" s="1"/>
      <c r="AT75" s="1"/>
      <c r="AU75" s="1"/>
    </row>
    <row r="76" spans="30:47" ht="19.5" customHeight="1"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2"/>
      <c r="AO76" s="1"/>
      <c r="AP76" s="1"/>
      <c r="AQ76" s="1"/>
      <c r="AR76" s="1"/>
      <c r="AS76" s="1"/>
      <c r="AT76" s="1"/>
      <c r="AU76" s="1"/>
    </row>
    <row r="77" spans="30:47" ht="19.5" customHeight="1"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2"/>
      <c r="AO77" s="1"/>
      <c r="AP77" s="1"/>
      <c r="AQ77" s="1"/>
      <c r="AR77" s="1"/>
      <c r="AS77" s="1"/>
      <c r="AT77" s="1"/>
      <c r="AU77" s="1"/>
    </row>
    <row r="78" spans="30:47" ht="19.5" customHeight="1"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2"/>
      <c r="AO78" s="1"/>
      <c r="AP78" s="1"/>
      <c r="AQ78" s="1"/>
      <c r="AR78" s="1"/>
      <c r="AS78" s="1"/>
      <c r="AT78" s="1"/>
      <c r="AU78" s="1"/>
    </row>
    <row r="79" spans="30:47" ht="19.5" customHeight="1"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2"/>
      <c r="AO79" s="1"/>
      <c r="AP79" s="1"/>
      <c r="AQ79" s="1"/>
      <c r="AR79" s="1"/>
      <c r="AS79" s="1"/>
      <c r="AT79" s="1"/>
      <c r="AU79" s="1"/>
    </row>
    <row r="80" spans="30:47" ht="19.5" customHeight="1"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2"/>
      <c r="AO80" s="1"/>
      <c r="AP80" s="1"/>
      <c r="AQ80" s="1"/>
      <c r="AR80" s="1"/>
      <c r="AS80" s="1"/>
      <c r="AT80" s="1"/>
      <c r="AU80" s="1"/>
    </row>
    <row r="81" spans="30:47" ht="19.5" customHeight="1"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2"/>
      <c r="AO81" s="1"/>
      <c r="AP81" s="1"/>
      <c r="AQ81" s="1"/>
      <c r="AR81" s="1"/>
      <c r="AS81" s="1"/>
      <c r="AT81" s="1"/>
      <c r="AU81" s="1"/>
    </row>
    <row r="82" spans="30:47" ht="19.5" customHeight="1"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2"/>
      <c r="AO82" s="1"/>
      <c r="AP82" s="1"/>
      <c r="AQ82" s="1"/>
      <c r="AR82" s="1"/>
      <c r="AS82" s="1"/>
      <c r="AT82" s="1"/>
      <c r="AU82" s="1"/>
    </row>
    <row r="83" spans="30:47" ht="19.5" customHeight="1"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2"/>
      <c r="AO83" s="1"/>
      <c r="AP83" s="1"/>
      <c r="AQ83" s="1"/>
      <c r="AR83" s="1"/>
      <c r="AS83" s="1"/>
      <c r="AT83" s="1"/>
      <c r="AU83" s="1"/>
    </row>
    <row r="84" spans="30:47" ht="19.5" customHeight="1"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2"/>
      <c r="AO84" s="1"/>
      <c r="AP84" s="1"/>
      <c r="AQ84" s="1"/>
      <c r="AR84" s="1"/>
      <c r="AS84" s="1"/>
      <c r="AT84" s="1"/>
      <c r="AU84" s="1"/>
    </row>
    <row r="85" spans="30:47" ht="19.5" customHeight="1"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2"/>
      <c r="AO85" s="1"/>
      <c r="AP85" s="1"/>
      <c r="AQ85" s="1"/>
      <c r="AR85" s="1"/>
      <c r="AS85" s="1"/>
      <c r="AT85" s="1"/>
      <c r="AU85" s="1"/>
    </row>
    <row r="86" spans="30:47" ht="19.5" customHeight="1"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2"/>
      <c r="AO86" s="1"/>
      <c r="AP86" s="1"/>
      <c r="AQ86" s="1"/>
      <c r="AR86" s="1"/>
      <c r="AS86" s="1"/>
      <c r="AT86" s="1"/>
      <c r="AU86" s="1"/>
    </row>
    <row r="87" spans="30:47" ht="19.5" customHeight="1"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2"/>
      <c r="AO87" s="1"/>
      <c r="AP87" s="1"/>
      <c r="AQ87" s="1"/>
      <c r="AR87" s="1"/>
      <c r="AS87" s="1"/>
      <c r="AT87" s="1"/>
      <c r="AU87" s="1"/>
    </row>
    <row r="88" spans="30:47" ht="19.5" customHeight="1"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2"/>
      <c r="AO88" s="1"/>
      <c r="AP88" s="1"/>
      <c r="AQ88" s="1"/>
      <c r="AR88" s="1"/>
      <c r="AS88" s="1"/>
      <c r="AT88" s="1"/>
      <c r="AU88" s="1"/>
    </row>
    <row r="89" spans="30:47" ht="19.5" customHeight="1"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2"/>
      <c r="AO89" s="1"/>
      <c r="AP89" s="1"/>
      <c r="AQ89" s="1"/>
      <c r="AR89" s="1"/>
      <c r="AS89" s="1"/>
      <c r="AT89" s="1"/>
      <c r="AU89" s="1"/>
    </row>
    <row r="90" spans="30:47" ht="19.5" customHeight="1"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2"/>
      <c r="AO90" s="1"/>
      <c r="AP90" s="1"/>
      <c r="AQ90" s="1"/>
      <c r="AR90" s="1"/>
      <c r="AS90" s="1"/>
      <c r="AT90" s="1"/>
      <c r="AU90" s="1"/>
    </row>
    <row r="91" spans="30:47" ht="19.5" customHeight="1"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2"/>
      <c r="AO91" s="1"/>
      <c r="AP91" s="1"/>
      <c r="AQ91" s="1"/>
      <c r="AR91" s="1"/>
      <c r="AS91" s="1"/>
      <c r="AT91" s="1"/>
      <c r="AU91" s="1"/>
    </row>
    <row r="92" spans="30:47" ht="19.5" customHeight="1"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2"/>
      <c r="AO92" s="1"/>
      <c r="AP92" s="1"/>
      <c r="AQ92" s="1"/>
      <c r="AR92" s="1"/>
      <c r="AS92" s="1"/>
      <c r="AT92" s="1"/>
      <c r="AU92" s="1"/>
    </row>
    <row r="93" spans="30:47" ht="19.5" customHeight="1"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2"/>
      <c r="AO93" s="1"/>
      <c r="AP93" s="1"/>
      <c r="AQ93" s="1"/>
      <c r="AR93" s="1"/>
      <c r="AS93" s="1"/>
      <c r="AT93" s="1"/>
      <c r="AU93" s="1"/>
    </row>
    <row r="94" spans="30:47" ht="19.5" customHeight="1"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2"/>
      <c r="AO94" s="1"/>
      <c r="AP94" s="1"/>
      <c r="AQ94" s="1"/>
      <c r="AR94" s="1"/>
      <c r="AS94" s="1"/>
      <c r="AT94" s="1"/>
      <c r="AU94" s="1"/>
    </row>
    <row r="95" spans="30:47" ht="19.5" customHeight="1"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2"/>
      <c r="AO95" s="1"/>
      <c r="AP95" s="1"/>
      <c r="AQ95" s="1"/>
      <c r="AR95" s="1"/>
      <c r="AS95" s="1"/>
      <c r="AT95" s="1"/>
      <c r="AU95" s="1"/>
    </row>
    <row r="96" spans="30:47" ht="19.5" customHeight="1"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2"/>
      <c r="AO96" s="1"/>
      <c r="AP96" s="1"/>
      <c r="AQ96" s="1"/>
      <c r="AR96" s="1"/>
      <c r="AS96" s="1"/>
      <c r="AT96" s="1"/>
      <c r="AU96" s="1"/>
    </row>
    <row r="97" spans="30:47" ht="19.5" customHeight="1"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2"/>
      <c r="AO97" s="1"/>
      <c r="AP97" s="1"/>
      <c r="AQ97" s="1"/>
      <c r="AR97" s="1"/>
      <c r="AS97" s="1"/>
      <c r="AT97" s="1"/>
      <c r="AU97" s="1"/>
    </row>
    <row r="98" spans="30:47" ht="19.5" customHeight="1"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2"/>
      <c r="AO98" s="1"/>
      <c r="AP98" s="1"/>
      <c r="AQ98" s="1"/>
      <c r="AR98" s="1"/>
      <c r="AS98" s="1"/>
      <c r="AT98" s="1"/>
      <c r="AU98" s="1"/>
    </row>
    <row r="99" spans="30:47" ht="19.5" customHeight="1"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2"/>
      <c r="AO99" s="1"/>
      <c r="AP99" s="1"/>
      <c r="AQ99" s="1"/>
      <c r="AR99" s="1"/>
      <c r="AS99" s="1"/>
      <c r="AT99" s="1"/>
      <c r="AU99" s="1"/>
    </row>
    <row r="100" spans="30:47" ht="19.5" customHeight="1"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2"/>
      <c r="AO100" s="1"/>
      <c r="AP100" s="1"/>
      <c r="AQ100" s="1"/>
      <c r="AR100" s="1"/>
      <c r="AS100" s="1"/>
      <c r="AT100" s="1"/>
      <c r="AU100" s="1"/>
    </row>
    <row r="101" spans="30:47" ht="19.5" customHeight="1"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2"/>
      <c r="AO101" s="1"/>
      <c r="AP101" s="1"/>
      <c r="AQ101" s="1"/>
      <c r="AR101" s="1"/>
      <c r="AS101" s="1"/>
      <c r="AT101" s="1"/>
      <c r="AU101" s="1"/>
    </row>
    <row r="102" spans="30:47" ht="19.5" customHeight="1"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2"/>
      <c r="AO102" s="1"/>
      <c r="AP102" s="1"/>
      <c r="AQ102" s="1"/>
      <c r="AR102" s="1"/>
      <c r="AS102" s="1"/>
      <c r="AT102" s="1"/>
      <c r="AU102" s="1"/>
    </row>
    <row r="103" spans="30:47" ht="19.5" customHeight="1"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2"/>
      <c r="AO103" s="1"/>
      <c r="AP103" s="1"/>
      <c r="AQ103" s="1"/>
      <c r="AR103" s="1"/>
      <c r="AS103" s="1"/>
      <c r="AT103" s="1"/>
      <c r="AU103" s="1"/>
    </row>
    <row r="104" spans="30:47" ht="19.5" customHeight="1"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2"/>
      <c r="AO104" s="1"/>
      <c r="AP104" s="1"/>
      <c r="AQ104" s="1"/>
      <c r="AR104" s="1"/>
      <c r="AS104" s="1"/>
      <c r="AT104" s="1"/>
      <c r="AU104" s="1"/>
    </row>
    <row r="105" spans="30:47" ht="19.5" customHeight="1"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2"/>
      <c r="AO105" s="1"/>
      <c r="AP105" s="1"/>
      <c r="AQ105" s="1"/>
      <c r="AR105" s="1"/>
      <c r="AS105" s="1"/>
      <c r="AT105" s="1"/>
      <c r="AU105" s="1"/>
    </row>
    <row r="106" spans="30:47" ht="19.5" customHeight="1"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2"/>
      <c r="AO106" s="1"/>
      <c r="AP106" s="1"/>
      <c r="AQ106" s="1"/>
      <c r="AR106" s="1"/>
      <c r="AS106" s="1"/>
      <c r="AT106" s="1"/>
      <c r="AU106" s="1"/>
    </row>
    <row r="107" spans="30:47" ht="19.5" customHeight="1"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2"/>
      <c r="AO107" s="1"/>
      <c r="AP107" s="1"/>
      <c r="AQ107" s="1"/>
      <c r="AR107" s="1"/>
      <c r="AS107" s="1"/>
      <c r="AT107" s="1"/>
      <c r="AU107" s="1"/>
    </row>
    <row r="108" spans="30:47" ht="19.5" customHeight="1"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2"/>
      <c r="AO108" s="1"/>
      <c r="AP108" s="1"/>
      <c r="AQ108" s="1"/>
      <c r="AR108" s="1"/>
      <c r="AS108" s="1"/>
      <c r="AT108" s="1"/>
      <c r="AU108" s="1"/>
    </row>
    <row r="109" spans="30:47" ht="19.5" customHeight="1"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2"/>
      <c r="AO109" s="1"/>
      <c r="AP109" s="1"/>
      <c r="AQ109" s="1"/>
      <c r="AR109" s="1"/>
      <c r="AS109" s="1"/>
      <c r="AT109" s="1"/>
      <c r="AU109" s="1"/>
    </row>
    <row r="110" spans="30:47" ht="19.5" customHeight="1"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2"/>
      <c r="AO110" s="1"/>
      <c r="AP110" s="1"/>
      <c r="AQ110" s="1"/>
      <c r="AR110" s="1"/>
      <c r="AS110" s="1"/>
      <c r="AT110" s="1"/>
      <c r="AU110" s="1"/>
    </row>
    <row r="111" spans="30:47" ht="19.5" customHeight="1"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2"/>
      <c r="AO111" s="1"/>
      <c r="AP111" s="1"/>
      <c r="AQ111" s="1"/>
      <c r="AR111" s="1"/>
      <c r="AS111" s="1"/>
      <c r="AT111" s="1"/>
      <c r="AU111" s="1"/>
    </row>
    <row r="112" spans="30:47" ht="19.5" customHeight="1"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2"/>
      <c r="AO112" s="1"/>
      <c r="AP112" s="1"/>
      <c r="AQ112" s="1"/>
      <c r="AR112" s="1"/>
      <c r="AS112" s="1"/>
      <c r="AT112" s="1"/>
      <c r="AU112" s="1"/>
    </row>
    <row r="113" spans="30:47" ht="19.5" customHeight="1"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2"/>
      <c r="AO113" s="1"/>
      <c r="AP113" s="1"/>
      <c r="AQ113" s="1"/>
      <c r="AR113" s="1"/>
      <c r="AS113" s="1"/>
      <c r="AT113" s="1"/>
      <c r="AU113" s="1"/>
    </row>
    <row r="114" spans="30:47" ht="19.5" customHeight="1"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2"/>
      <c r="AO114" s="1"/>
      <c r="AP114" s="1"/>
      <c r="AQ114" s="1"/>
      <c r="AR114" s="1"/>
      <c r="AS114" s="1"/>
      <c r="AT114" s="1"/>
      <c r="AU114" s="1"/>
    </row>
    <row r="115" spans="30:47" ht="19.5" customHeight="1"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2"/>
      <c r="AO115" s="1"/>
      <c r="AP115" s="1"/>
      <c r="AQ115" s="1"/>
      <c r="AR115" s="1"/>
      <c r="AS115" s="1"/>
      <c r="AT115" s="1"/>
      <c r="AU115" s="1"/>
    </row>
    <row r="116" spans="30:47" ht="19.5" customHeight="1"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2"/>
      <c r="AO116" s="1"/>
      <c r="AP116" s="1"/>
      <c r="AQ116" s="1"/>
      <c r="AR116" s="1"/>
      <c r="AS116" s="1"/>
      <c r="AT116" s="1"/>
      <c r="AU116" s="1"/>
    </row>
    <row r="117" spans="30:47" ht="19.5" customHeight="1"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2"/>
      <c r="AO117" s="1"/>
      <c r="AP117" s="1"/>
      <c r="AQ117" s="1"/>
      <c r="AR117" s="1"/>
      <c r="AS117" s="1"/>
      <c r="AT117" s="1"/>
      <c r="AU117" s="1"/>
    </row>
    <row r="118" spans="30:47" ht="19.5" customHeight="1"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2"/>
      <c r="AO118" s="1"/>
      <c r="AP118" s="1"/>
      <c r="AQ118" s="1"/>
      <c r="AR118" s="1"/>
      <c r="AS118" s="1"/>
      <c r="AT118" s="1"/>
      <c r="AU118" s="1"/>
    </row>
    <row r="119" spans="30:47" ht="19.5" customHeight="1"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2"/>
      <c r="AO119" s="1"/>
      <c r="AP119" s="1"/>
      <c r="AQ119" s="1"/>
      <c r="AR119" s="1"/>
      <c r="AS119" s="1"/>
      <c r="AT119" s="1"/>
      <c r="AU119" s="1"/>
    </row>
    <row r="120" spans="30:47" ht="19.5" customHeight="1"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2"/>
      <c r="AO120" s="1"/>
      <c r="AP120" s="1"/>
      <c r="AQ120" s="1"/>
      <c r="AR120" s="1"/>
      <c r="AS120" s="1"/>
      <c r="AT120" s="1"/>
      <c r="AU120" s="1"/>
    </row>
    <row r="121" spans="30:47" ht="19.5" customHeight="1"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2"/>
      <c r="AO121" s="1"/>
      <c r="AP121" s="1"/>
      <c r="AQ121" s="1"/>
      <c r="AR121" s="1"/>
      <c r="AS121" s="1"/>
      <c r="AT121" s="1"/>
      <c r="AU121" s="1"/>
    </row>
    <row r="122" spans="30:47" ht="19.5" customHeight="1"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2"/>
      <c r="AO122" s="1"/>
      <c r="AP122" s="1"/>
      <c r="AQ122" s="1"/>
      <c r="AR122" s="1"/>
      <c r="AS122" s="1"/>
      <c r="AT122" s="1"/>
      <c r="AU122" s="1"/>
    </row>
    <row r="123" spans="30:47" ht="19.5" customHeight="1"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2"/>
      <c r="AO123" s="1"/>
      <c r="AP123" s="1"/>
      <c r="AQ123" s="1"/>
      <c r="AR123" s="1"/>
      <c r="AS123" s="1"/>
      <c r="AT123" s="1"/>
      <c r="AU123" s="1"/>
    </row>
    <row r="124" spans="30:47" ht="19.5" customHeight="1"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2"/>
      <c r="AO124" s="1"/>
      <c r="AP124" s="1"/>
      <c r="AQ124" s="1"/>
      <c r="AR124" s="1"/>
      <c r="AS124" s="1"/>
      <c r="AT124" s="1"/>
      <c r="AU124" s="1"/>
    </row>
    <row r="125" spans="30:47" ht="19.5" customHeight="1"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2"/>
      <c r="AO125" s="1"/>
      <c r="AP125" s="1"/>
      <c r="AQ125" s="1"/>
      <c r="AR125" s="1"/>
      <c r="AS125" s="1"/>
      <c r="AT125" s="1"/>
      <c r="AU125" s="1"/>
    </row>
    <row r="126" spans="30:47" ht="19.5" customHeight="1"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2"/>
      <c r="AO126" s="1"/>
      <c r="AP126" s="1"/>
      <c r="AQ126" s="1"/>
      <c r="AR126" s="1"/>
      <c r="AS126" s="1"/>
      <c r="AT126" s="1"/>
      <c r="AU126" s="1"/>
    </row>
    <row r="127" spans="30:47" ht="19.5" customHeight="1"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2"/>
      <c r="AO127" s="1"/>
      <c r="AP127" s="1"/>
      <c r="AQ127" s="1"/>
      <c r="AR127" s="1"/>
      <c r="AS127" s="1"/>
      <c r="AT127" s="1"/>
      <c r="AU127" s="1"/>
    </row>
    <row r="128" spans="30:47" ht="19.5" customHeight="1"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2"/>
      <c r="AO128" s="1"/>
      <c r="AP128" s="1"/>
      <c r="AQ128" s="1"/>
      <c r="AR128" s="1"/>
      <c r="AS128" s="1"/>
      <c r="AT128" s="1"/>
      <c r="AU128" s="1"/>
    </row>
    <row r="129" spans="30:47" ht="19.5" customHeight="1"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2"/>
      <c r="AO129" s="1"/>
      <c r="AP129" s="1"/>
      <c r="AQ129" s="1"/>
      <c r="AR129" s="1"/>
      <c r="AS129" s="1"/>
      <c r="AT129" s="1"/>
      <c r="AU129" s="1"/>
    </row>
    <row r="130" spans="30:47" ht="19.5" customHeight="1"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2"/>
      <c r="AO130" s="1"/>
      <c r="AP130" s="1"/>
      <c r="AQ130" s="1"/>
      <c r="AR130" s="1"/>
      <c r="AS130" s="1"/>
      <c r="AT130" s="1"/>
      <c r="AU130" s="1"/>
    </row>
    <row r="131" spans="30:47" ht="19.5" customHeight="1"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2"/>
      <c r="AO131" s="1"/>
      <c r="AP131" s="1"/>
      <c r="AQ131" s="1"/>
      <c r="AR131" s="1"/>
      <c r="AS131" s="1"/>
      <c r="AT131" s="1"/>
      <c r="AU131" s="1"/>
    </row>
    <row r="132" spans="30:47" ht="19.5" customHeight="1"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2"/>
      <c r="AO132" s="1"/>
      <c r="AP132" s="1"/>
      <c r="AQ132" s="1"/>
      <c r="AR132" s="1"/>
      <c r="AS132" s="1"/>
      <c r="AT132" s="1"/>
      <c r="AU132" s="1"/>
    </row>
    <row r="133" spans="30:47" ht="19.5" customHeight="1"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2"/>
      <c r="AO133" s="1"/>
      <c r="AP133" s="1"/>
      <c r="AQ133" s="1"/>
      <c r="AR133" s="1"/>
      <c r="AS133" s="1"/>
      <c r="AT133" s="1"/>
      <c r="AU133" s="1"/>
    </row>
    <row r="134" spans="30:47" ht="19.5" customHeight="1"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2"/>
      <c r="AO134" s="1"/>
      <c r="AP134" s="1"/>
      <c r="AQ134" s="1"/>
      <c r="AR134" s="1"/>
      <c r="AS134" s="1"/>
      <c r="AT134" s="1"/>
      <c r="AU134" s="1"/>
    </row>
    <row r="135" spans="30:47" ht="19.5" customHeight="1"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2"/>
      <c r="AO135" s="1"/>
      <c r="AP135" s="1"/>
      <c r="AQ135" s="1"/>
      <c r="AR135" s="1"/>
      <c r="AS135" s="1"/>
      <c r="AT135" s="1"/>
      <c r="AU135" s="1"/>
    </row>
    <row r="136" spans="30:47" ht="19.5" customHeight="1"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2"/>
      <c r="AO136" s="1"/>
      <c r="AP136" s="1"/>
      <c r="AQ136" s="1"/>
      <c r="AR136" s="1"/>
      <c r="AS136" s="1"/>
      <c r="AT136" s="1"/>
      <c r="AU136" s="1"/>
    </row>
    <row r="137" spans="30:47" ht="19.5" customHeight="1"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2"/>
      <c r="AO137" s="1"/>
      <c r="AP137" s="1"/>
      <c r="AQ137" s="1"/>
      <c r="AR137" s="1"/>
      <c r="AS137" s="1"/>
      <c r="AT137" s="1"/>
      <c r="AU137" s="1"/>
    </row>
    <row r="138" spans="30:47" ht="19.5" customHeight="1"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2"/>
      <c r="AO138" s="1"/>
      <c r="AP138" s="1"/>
      <c r="AQ138" s="1"/>
      <c r="AR138" s="1"/>
      <c r="AS138" s="1"/>
      <c r="AT138" s="1"/>
      <c r="AU138" s="1"/>
    </row>
    <row r="139" spans="30:47" ht="19.5" customHeight="1"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2"/>
      <c r="AO139" s="1"/>
      <c r="AP139" s="1"/>
      <c r="AQ139" s="1"/>
      <c r="AR139" s="1"/>
      <c r="AS139" s="1"/>
      <c r="AT139" s="1"/>
      <c r="AU139" s="1"/>
    </row>
    <row r="140" spans="30:47" ht="19.5" customHeight="1"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2"/>
      <c r="AO140" s="1"/>
      <c r="AP140" s="1"/>
      <c r="AQ140" s="1"/>
      <c r="AR140" s="1"/>
      <c r="AS140" s="1"/>
      <c r="AT140" s="1"/>
      <c r="AU140" s="1"/>
    </row>
    <row r="141" spans="30:47" ht="19.5" customHeight="1"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2"/>
      <c r="AO141" s="1"/>
      <c r="AP141" s="1"/>
      <c r="AQ141" s="1"/>
      <c r="AR141" s="1"/>
      <c r="AS141" s="1"/>
      <c r="AT141" s="1"/>
      <c r="AU141" s="1"/>
    </row>
    <row r="142" spans="30:47" ht="19.5" customHeight="1"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2"/>
      <c r="AO142" s="1"/>
      <c r="AP142" s="1"/>
      <c r="AQ142" s="1"/>
      <c r="AR142" s="1"/>
      <c r="AS142" s="1"/>
      <c r="AT142" s="1"/>
      <c r="AU142" s="1"/>
    </row>
    <row r="143" spans="30:47" ht="19.5" customHeight="1"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2"/>
      <c r="AO143" s="1"/>
      <c r="AP143" s="1"/>
      <c r="AQ143" s="1"/>
      <c r="AR143" s="1"/>
      <c r="AS143" s="1"/>
      <c r="AT143" s="1"/>
      <c r="AU143" s="1"/>
    </row>
    <row r="144" spans="30:47" ht="19.5" customHeight="1"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2"/>
      <c r="AO144" s="1"/>
      <c r="AP144" s="1"/>
      <c r="AQ144" s="1"/>
      <c r="AR144" s="1"/>
      <c r="AS144" s="1"/>
      <c r="AT144" s="1"/>
      <c r="AU144" s="1"/>
    </row>
    <row r="145" spans="30:47" ht="19.5" customHeight="1"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2"/>
      <c r="AO145" s="1"/>
      <c r="AP145" s="1"/>
      <c r="AQ145" s="1"/>
      <c r="AR145" s="1"/>
      <c r="AS145" s="1"/>
      <c r="AT145" s="1"/>
      <c r="AU145" s="1"/>
    </row>
    <row r="146" spans="30:47" ht="19.5" customHeight="1"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2"/>
      <c r="AO146" s="1"/>
      <c r="AP146" s="1"/>
      <c r="AQ146" s="1"/>
      <c r="AR146" s="1"/>
      <c r="AS146" s="1"/>
      <c r="AT146" s="1"/>
      <c r="AU146" s="1"/>
    </row>
    <row r="147" spans="30:47" ht="19.5" customHeight="1"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2"/>
      <c r="AO147" s="1"/>
      <c r="AP147" s="1"/>
      <c r="AQ147" s="1"/>
      <c r="AR147" s="1"/>
      <c r="AS147" s="1"/>
      <c r="AT147" s="1"/>
      <c r="AU147" s="1"/>
    </row>
    <row r="148" spans="30:47" ht="19.5" customHeight="1"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2"/>
      <c r="AO148" s="1"/>
      <c r="AP148" s="1"/>
      <c r="AQ148" s="1"/>
      <c r="AR148" s="1"/>
      <c r="AS148" s="1"/>
      <c r="AT148" s="1"/>
      <c r="AU148" s="1"/>
    </row>
    <row r="149" spans="30:47" ht="19.5" customHeight="1"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2"/>
      <c r="AO149" s="1"/>
      <c r="AP149" s="1"/>
      <c r="AQ149" s="1"/>
      <c r="AR149" s="1"/>
      <c r="AS149" s="1"/>
      <c r="AT149" s="1"/>
      <c r="AU149" s="1"/>
    </row>
    <row r="150" spans="30:47" ht="19.5" customHeight="1"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2"/>
      <c r="AO150" s="1"/>
      <c r="AP150" s="1"/>
      <c r="AQ150" s="1"/>
      <c r="AR150" s="1"/>
      <c r="AS150" s="1"/>
      <c r="AT150" s="1"/>
      <c r="AU150" s="1"/>
    </row>
    <row r="151" spans="30:47" ht="19.5" customHeight="1"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2"/>
      <c r="AO151" s="1"/>
      <c r="AP151" s="1"/>
      <c r="AQ151" s="1"/>
      <c r="AR151" s="1"/>
      <c r="AS151" s="1"/>
      <c r="AT151" s="1"/>
      <c r="AU151" s="1"/>
    </row>
    <row r="152" spans="30:47" ht="19.5" customHeight="1"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2"/>
      <c r="AO152" s="1"/>
      <c r="AP152" s="1"/>
      <c r="AQ152" s="1"/>
      <c r="AR152" s="1"/>
      <c r="AS152" s="1"/>
      <c r="AT152" s="1"/>
      <c r="AU152" s="1"/>
    </row>
    <row r="153" spans="30:47" ht="19.5" customHeight="1"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2"/>
      <c r="AO153" s="1"/>
      <c r="AP153" s="1"/>
      <c r="AQ153" s="1"/>
      <c r="AR153" s="1"/>
      <c r="AS153" s="1"/>
      <c r="AT153" s="1"/>
      <c r="AU153" s="1"/>
    </row>
    <row r="154" spans="30:47" ht="19.5" customHeight="1"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2"/>
      <c r="AO154" s="1"/>
      <c r="AP154" s="1"/>
      <c r="AQ154" s="1"/>
      <c r="AR154" s="1"/>
      <c r="AS154" s="1"/>
      <c r="AT154" s="1"/>
      <c r="AU154" s="1"/>
    </row>
    <row r="155" spans="30:47" ht="19.5" customHeight="1"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2"/>
      <c r="AO155" s="1"/>
      <c r="AP155" s="1"/>
      <c r="AQ155" s="1"/>
      <c r="AR155" s="1"/>
      <c r="AS155" s="1"/>
      <c r="AT155" s="1"/>
      <c r="AU155" s="1"/>
    </row>
    <row r="156" spans="30:47" ht="19.5" customHeight="1"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2"/>
      <c r="AO156" s="1"/>
      <c r="AP156" s="1"/>
      <c r="AQ156" s="1"/>
      <c r="AR156" s="1"/>
      <c r="AS156" s="1"/>
      <c r="AT156" s="1"/>
      <c r="AU156" s="1"/>
    </row>
    <row r="157" spans="30:47" ht="19.5" customHeight="1"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2"/>
      <c r="AO157" s="1"/>
      <c r="AP157" s="1"/>
      <c r="AQ157" s="1"/>
      <c r="AR157" s="1"/>
      <c r="AS157" s="1"/>
      <c r="AT157" s="1"/>
      <c r="AU157" s="1"/>
    </row>
    <row r="158" spans="30:47" ht="19.5" customHeight="1"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2"/>
      <c r="AO158" s="1"/>
      <c r="AP158" s="1"/>
      <c r="AQ158" s="1"/>
      <c r="AR158" s="1"/>
      <c r="AS158" s="1"/>
      <c r="AT158" s="1"/>
      <c r="AU158" s="1"/>
    </row>
    <row r="159" spans="30:47" ht="19.5" customHeight="1"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2"/>
      <c r="AO159" s="1"/>
      <c r="AP159" s="1"/>
      <c r="AQ159" s="1"/>
      <c r="AR159" s="1"/>
      <c r="AS159" s="1"/>
      <c r="AT159" s="1"/>
      <c r="AU159" s="1"/>
    </row>
    <row r="160" spans="30:47" ht="19.5" customHeight="1"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2"/>
      <c r="AO160" s="1"/>
      <c r="AP160" s="1"/>
      <c r="AQ160" s="1"/>
      <c r="AR160" s="1"/>
      <c r="AS160" s="1"/>
      <c r="AT160" s="1"/>
      <c r="AU160" s="1"/>
    </row>
    <row r="161" spans="30:47" ht="19.5" customHeight="1"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2"/>
      <c r="AO161" s="1"/>
      <c r="AP161" s="1"/>
      <c r="AQ161" s="1"/>
      <c r="AR161" s="1"/>
      <c r="AS161" s="1"/>
      <c r="AT161" s="1"/>
      <c r="AU161" s="1"/>
    </row>
    <row r="162" spans="30:47" ht="19.5" customHeight="1"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2"/>
      <c r="AO162" s="1"/>
      <c r="AP162" s="1"/>
      <c r="AQ162" s="1"/>
      <c r="AR162" s="1"/>
      <c r="AS162" s="1"/>
      <c r="AT162" s="1"/>
      <c r="AU162" s="1"/>
    </row>
    <row r="163" spans="30:47" ht="19.5" customHeight="1"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2"/>
      <c r="AO163" s="1"/>
      <c r="AP163" s="1"/>
      <c r="AQ163" s="1"/>
      <c r="AR163" s="1"/>
      <c r="AS163" s="1"/>
      <c r="AT163" s="1"/>
      <c r="AU163" s="1"/>
    </row>
    <row r="164" spans="30:47" ht="19.5" customHeight="1"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2"/>
      <c r="AO164" s="1"/>
      <c r="AP164" s="1"/>
      <c r="AQ164" s="1"/>
      <c r="AR164" s="1"/>
      <c r="AS164" s="1"/>
      <c r="AT164" s="1"/>
      <c r="AU164" s="1"/>
    </row>
    <row r="165" spans="30:47" ht="19.5" customHeight="1"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2"/>
      <c r="AO165" s="1"/>
      <c r="AP165" s="1"/>
      <c r="AQ165" s="1"/>
      <c r="AR165" s="1"/>
      <c r="AS165" s="1"/>
      <c r="AT165" s="1"/>
      <c r="AU165" s="1"/>
    </row>
    <row r="166" spans="30:47" ht="19.5" customHeight="1"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2"/>
      <c r="AO166" s="1"/>
      <c r="AP166" s="1"/>
      <c r="AQ166" s="1"/>
      <c r="AR166" s="1"/>
      <c r="AS166" s="1"/>
      <c r="AT166" s="1"/>
      <c r="AU166" s="1"/>
    </row>
    <row r="167" spans="30:47" ht="19.5" customHeight="1"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2"/>
      <c r="AO167" s="1"/>
      <c r="AP167" s="1"/>
      <c r="AQ167" s="1"/>
      <c r="AR167" s="1"/>
      <c r="AS167" s="1"/>
      <c r="AT167" s="1"/>
      <c r="AU167" s="1"/>
    </row>
    <row r="168" spans="30:47" ht="19.5" customHeight="1"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2"/>
      <c r="AO168" s="1"/>
      <c r="AP168" s="1"/>
      <c r="AQ168" s="1"/>
      <c r="AR168" s="1"/>
      <c r="AS168" s="1"/>
      <c r="AT168" s="1"/>
      <c r="AU168" s="1"/>
    </row>
    <row r="169" spans="30:47" ht="19.5" customHeight="1"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2"/>
      <c r="AO169" s="1"/>
      <c r="AP169" s="1"/>
      <c r="AQ169" s="1"/>
      <c r="AR169" s="1"/>
      <c r="AS169" s="1"/>
      <c r="AT169" s="1"/>
      <c r="AU169" s="1"/>
    </row>
    <row r="170" spans="30:47" ht="19.5" customHeight="1"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2"/>
      <c r="AO170" s="1"/>
      <c r="AP170" s="1"/>
      <c r="AQ170" s="1"/>
      <c r="AR170" s="1"/>
      <c r="AS170" s="1"/>
      <c r="AT170" s="1"/>
      <c r="AU170" s="1"/>
    </row>
    <row r="171" spans="30:47" ht="19.5" customHeight="1"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2"/>
      <c r="AO171" s="1"/>
      <c r="AP171" s="1"/>
      <c r="AQ171" s="1"/>
      <c r="AR171" s="1"/>
      <c r="AS171" s="1"/>
      <c r="AT171" s="1"/>
      <c r="AU171" s="1"/>
    </row>
    <row r="172" spans="30:47" ht="19.5" customHeight="1"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2"/>
      <c r="AO172" s="1"/>
      <c r="AP172" s="1"/>
      <c r="AQ172" s="1"/>
      <c r="AR172" s="1"/>
      <c r="AS172" s="1"/>
      <c r="AT172" s="1"/>
      <c r="AU172" s="1"/>
    </row>
    <row r="173" spans="30:47" ht="19.5" customHeight="1"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2"/>
      <c r="AO173" s="1"/>
      <c r="AP173" s="1"/>
      <c r="AQ173" s="1"/>
      <c r="AR173" s="1"/>
      <c r="AS173" s="1"/>
      <c r="AT173" s="1"/>
      <c r="AU173" s="1"/>
    </row>
    <row r="174" spans="30:47" ht="19.5" customHeight="1"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2"/>
      <c r="AO174" s="1"/>
      <c r="AP174" s="1"/>
      <c r="AQ174" s="1"/>
      <c r="AR174" s="1"/>
      <c r="AS174" s="1"/>
      <c r="AT174" s="1"/>
      <c r="AU174" s="1"/>
    </row>
    <row r="175" spans="30:47" ht="19.5" customHeight="1"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2"/>
      <c r="AO175" s="1"/>
      <c r="AP175" s="1"/>
      <c r="AQ175" s="1"/>
      <c r="AR175" s="1"/>
      <c r="AS175" s="1"/>
      <c r="AT175" s="1"/>
      <c r="AU175" s="1"/>
    </row>
    <row r="176" spans="30:47" ht="19.5" customHeight="1"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2"/>
      <c r="AO176" s="1"/>
      <c r="AP176" s="1"/>
      <c r="AQ176" s="1"/>
      <c r="AR176" s="1"/>
      <c r="AS176" s="1"/>
      <c r="AT176" s="1"/>
      <c r="AU176" s="1"/>
    </row>
    <row r="177" spans="30:47" ht="19.5" customHeight="1"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2"/>
      <c r="AO177" s="1"/>
      <c r="AP177" s="1"/>
      <c r="AQ177" s="1"/>
      <c r="AR177" s="1"/>
      <c r="AS177" s="1"/>
      <c r="AT177" s="1"/>
      <c r="AU177" s="1"/>
    </row>
    <row r="178" spans="30:47" ht="19.5" customHeight="1"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2"/>
      <c r="AO178" s="1"/>
      <c r="AP178" s="1"/>
      <c r="AQ178" s="1"/>
      <c r="AR178" s="1"/>
      <c r="AS178" s="1"/>
      <c r="AT178" s="1"/>
      <c r="AU178" s="1"/>
    </row>
    <row r="179" spans="30:47" ht="19.5" customHeight="1"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2"/>
      <c r="AO179" s="1"/>
      <c r="AP179" s="1"/>
      <c r="AQ179" s="1"/>
      <c r="AR179" s="1"/>
      <c r="AS179" s="1"/>
      <c r="AT179" s="1"/>
      <c r="AU179" s="1"/>
    </row>
    <row r="180" spans="30:47" ht="19.5" customHeight="1"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2"/>
      <c r="AO180" s="1"/>
      <c r="AP180" s="1"/>
      <c r="AQ180" s="1"/>
      <c r="AR180" s="1"/>
      <c r="AS180" s="1"/>
      <c r="AT180" s="1"/>
      <c r="AU180" s="1"/>
    </row>
    <row r="181" spans="30:47" ht="19.5" customHeight="1"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2"/>
      <c r="AO181" s="1"/>
      <c r="AP181" s="1"/>
      <c r="AQ181" s="1"/>
      <c r="AR181" s="1"/>
      <c r="AS181" s="1"/>
      <c r="AT181" s="1"/>
      <c r="AU181" s="1"/>
    </row>
    <row r="182" spans="30:47" ht="19.5" customHeight="1"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2"/>
      <c r="AO182" s="1"/>
      <c r="AP182" s="1"/>
      <c r="AQ182" s="1"/>
      <c r="AR182" s="1"/>
      <c r="AS182" s="1"/>
      <c r="AT182" s="1"/>
      <c r="AU182" s="1"/>
    </row>
    <row r="183" spans="30:47" ht="19.5" customHeight="1"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2"/>
      <c r="AO183" s="1"/>
      <c r="AP183" s="1"/>
      <c r="AQ183" s="1"/>
      <c r="AR183" s="1"/>
      <c r="AS183" s="1"/>
      <c r="AT183" s="1"/>
      <c r="AU183" s="1"/>
    </row>
    <row r="184" spans="30:45" ht="19.5" customHeight="1"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2"/>
      <c r="AO184" s="1"/>
      <c r="AP184" s="1"/>
      <c r="AQ184" s="1"/>
      <c r="AR184" s="1"/>
      <c r="AS184" s="1"/>
    </row>
    <row r="185" spans="30:45" ht="19.5" customHeight="1"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2"/>
      <c r="AO185" s="1"/>
      <c r="AP185" s="1"/>
      <c r="AQ185" s="1"/>
      <c r="AR185" s="1"/>
      <c r="AS185" s="1"/>
    </row>
    <row r="186" spans="30:45" ht="19.5" customHeight="1"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2"/>
      <c r="AO186" s="1"/>
      <c r="AP186" s="1"/>
      <c r="AQ186" s="1"/>
      <c r="AR186" s="1"/>
      <c r="AS186" s="1"/>
    </row>
    <row r="187" spans="30:45" ht="19.5" customHeight="1"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2"/>
      <c r="AO187" s="1"/>
      <c r="AP187" s="1"/>
      <c r="AQ187" s="1"/>
      <c r="AR187" s="1"/>
      <c r="AS187" s="1"/>
    </row>
    <row r="188" spans="30:45" ht="19.5" customHeight="1"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2"/>
      <c r="AO188" s="1"/>
      <c r="AP188" s="1"/>
      <c r="AQ188" s="1"/>
      <c r="AR188" s="1"/>
      <c r="AS188" s="1"/>
    </row>
    <row r="189" spans="30:45" ht="19.5" customHeight="1"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2"/>
      <c r="AO189" s="1"/>
      <c r="AP189" s="1"/>
      <c r="AQ189" s="1"/>
      <c r="AR189" s="1"/>
      <c r="AS189" s="1"/>
    </row>
    <row r="190" spans="30:45" ht="19.5" customHeight="1"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2"/>
      <c r="AO190" s="1"/>
      <c r="AP190" s="1"/>
      <c r="AQ190" s="1"/>
      <c r="AR190" s="1"/>
      <c r="AS190" s="1"/>
    </row>
    <row r="191" spans="30:45" ht="19.5" customHeight="1"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2"/>
      <c r="AO191" s="1"/>
      <c r="AP191" s="1"/>
      <c r="AQ191" s="1"/>
      <c r="AR191" s="1"/>
      <c r="AS191" s="1"/>
    </row>
    <row r="192" spans="30:45" ht="19.5" customHeight="1"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2"/>
      <c r="AO192" s="1"/>
      <c r="AP192" s="1"/>
      <c r="AQ192" s="1"/>
      <c r="AR192" s="1"/>
      <c r="AS192" s="1"/>
    </row>
    <row r="193" spans="30:45" ht="19.5" customHeight="1"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2"/>
      <c r="AO193" s="1"/>
      <c r="AP193" s="1"/>
      <c r="AQ193" s="1"/>
      <c r="AR193" s="1"/>
      <c r="AS193" s="1"/>
    </row>
    <row r="194" spans="30:45" ht="19.5" customHeight="1"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2"/>
      <c r="AO194" s="1"/>
      <c r="AP194" s="1"/>
      <c r="AQ194" s="1"/>
      <c r="AR194" s="1"/>
      <c r="AS194" s="1"/>
    </row>
    <row r="195" spans="30:45" ht="19.5" customHeight="1"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2"/>
      <c r="AO195" s="1"/>
      <c r="AP195" s="1"/>
      <c r="AQ195" s="1"/>
      <c r="AR195" s="1"/>
      <c r="AS195" s="1"/>
    </row>
    <row r="196" spans="30:45" ht="19.5" customHeight="1"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2"/>
      <c r="AO196" s="1"/>
      <c r="AP196" s="1"/>
      <c r="AQ196" s="1"/>
      <c r="AR196" s="1"/>
      <c r="AS196" s="1"/>
    </row>
    <row r="197" spans="30:45" ht="19.5" customHeight="1"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2"/>
      <c r="AO197" s="1"/>
      <c r="AP197" s="1"/>
      <c r="AQ197" s="1"/>
      <c r="AR197" s="1"/>
      <c r="AS197" s="1"/>
    </row>
    <row r="198" spans="30:45" ht="19.5" customHeight="1"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2"/>
      <c r="AO198" s="1"/>
      <c r="AP198" s="1"/>
      <c r="AQ198" s="1"/>
      <c r="AR198" s="1"/>
      <c r="AS198" s="1"/>
    </row>
    <row r="199" spans="30:45" ht="19.5" customHeight="1"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2"/>
      <c r="AO199" s="1"/>
      <c r="AP199" s="1"/>
      <c r="AQ199" s="1"/>
      <c r="AR199" s="1"/>
      <c r="AS199" s="1"/>
    </row>
    <row r="200" spans="30:45" ht="19.5" customHeight="1"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2"/>
      <c r="AO200" s="1"/>
      <c r="AP200" s="1"/>
      <c r="AQ200" s="1"/>
      <c r="AR200" s="1"/>
      <c r="AS200" s="1"/>
    </row>
    <row r="201" spans="30:45" ht="19.5" customHeight="1"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2"/>
      <c r="AO201" s="1"/>
      <c r="AP201" s="1"/>
      <c r="AQ201" s="1"/>
      <c r="AR201" s="1"/>
      <c r="AS201" s="1"/>
    </row>
    <row r="202" spans="30:45" ht="19.5" customHeight="1"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2"/>
      <c r="AO202" s="1"/>
      <c r="AP202" s="1"/>
      <c r="AQ202" s="1"/>
      <c r="AR202" s="1"/>
      <c r="AS202" s="1"/>
    </row>
    <row r="203" spans="30:45" ht="19.5" customHeight="1"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2"/>
      <c r="AO203" s="1"/>
      <c r="AP203" s="1"/>
      <c r="AQ203" s="1"/>
      <c r="AR203" s="1"/>
      <c r="AS203" s="1"/>
    </row>
    <row r="204" spans="30:45" ht="19.5" customHeight="1"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2"/>
      <c r="AO204" s="1"/>
      <c r="AP204" s="1"/>
      <c r="AQ204" s="1"/>
      <c r="AR204" s="1"/>
      <c r="AS204" s="1"/>
    </row>
    <row r="205" spans="30:45" ht="19.5" customHeight="1"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2"/>
      <c r="AO205" s="1"/>
      <c r="AP205" s="1"/>
      <c r="AQ205" s="1"/>
      <c r="AR205" s="1"/>
      <c r="AS205" s="1"/>
    </row>
    <row r="206" spans="30:45" ht="19.5" customHeight="1"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2"/>
      <c r="AO206" s="1"/>
      <c r="AP206" s="1"/>
      <c r="AQ206" s="1"/>
      <c r="AR206" s="1"/>
      <c r="AS206" s="1"/>
    </row>
    <row r="207" spans="30:45" ht="19.5" customHeight="1"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2"/>
      <c r="AO207" s="1"/>
      <c r="AP207" s="1"/>
      <c r="AQ207" s="1"/>
      <c r="AR207" s="1"/>
      <c r="AS207" s="1"/>
    </row>
    <row r="208" spans="30:45" ht="19.5" customHeight="1"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2"/>
      <c r="AO208" s="1"/>
      <c r="AP208" s="1"/>
      <c r="AQ208" s="1"/>
      <c r="AR208" s="1"/>
      <c r="AS208" s="1"/>
    </row>
    <row r="209" spans="30:45" ht="19.5" customHeight="1"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2"/>
      <c r="AO209" s="1"/>
      <c r="AP209" s="1"/>
      <c r="AQ209" s="1"/>
      <c r="AR209" s="1"/>
      <c r="AS209" s="1"/>
    </row>
    <row r="210" spans="30:45" ht="19.5" customHeight="1"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2"/>
      <c r="AO210" s="1"/>
      <c r="AP210" s="1"/>
      <c r="AQ210" s="1"/>
      <c r="AR210" s="1"/>
      <c r="AS210" s="1"/>
    </row>
    <row r="211" spans="30:45" ht="19.5" customHeight="1"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2"/>
      <c r="AO211" s="1"/>
      <c r="AP211" s="1"/>
      <c r="AQ211" s="1"/>
      <c r="AR211" s="1"/>
      <c r="AS211" s="1"/>
    </row>
    <row r="212" spans="30:45" ht="19.5" customHeight="1"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2"/>
      <c r="AO212" s="1"/>
      <c r="AP212" s="1"/>
      <c r="AQ212" s="1"/>
      <c r="AR212" s="1"/>
      <c r="AS212" s="1"/>
    </row>
    <row r="213" spans="30:45" ht="19.5" customHeight="1"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2"/>
      <c r="AO213" s="1"/>
      <c r="AP213" s="1"/>
      <c r="AQ213" s="1"/>
      <c r="AR213" s="1"/>
      <c r="AS213" s="1"/>
    </row>
    <row r="214" spans="30:45" ht="19.5" customHeight="1"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2"/>
      <c r="AO214" s="1"/>
      <c r="AP214" s="1"/>
      <c r="AQ214" s="1"/>
      <c r="AR214" s="1"/>
      <c r="AS214" s="1"/>
    </row>
    <row r="215" spans="30:45" ht="19.5" customHeight="1"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2"/>
      <c r="AO215" s="1"/>
      <c r="AP215" s="1"/>
      <c r="AQ215" s="1"/>
      <c r="AR215" s="1"/>
      <c r="AS215" s="1"/>
    </row>
    <row r="216" spans="30:45" ht="19.5" customHeight="1"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2"/>
      <c r="AO216" s="1"/>
      <c r="AP216" s="1"/>
      <c r="AQ216" s="1"/>
      <c r="AR216" s="1"/>
      <c r="AS216" s="1"/>
    </row>
  </sheetData>
  <sheetProtection/>
  <mergeCells count="81">
    <mergeCell ref="G61:I61"/>
    <mergeCell ref="K44:N44"/>
    <mergeCell ref="P61:Q64"/>
    <mergeCell ref="U44:X44"/>
    <mergeCell ref="R45:U45"/>
    <mergeCell ref="N17:Q17"/>
    <mergeCell ref="AP17:AS17"/>
    <mergeCell ref="AH45:AK45"/>
    <mergeCell ref="V45:Y45"/>
    <mergeCell ref="AL31:AO31"/>
    <mergeCell ref="AR44:AS44"/>
    <mergeCell ref="AD31:AG31"/>
    <mergeCell ref="AH17:AK17"/>
    <mergeCell ref="Y30:AD30"/>
    <mergeCell ref="AP45:AS45"/>
    <mergeCell ref="AD45:AG45"/>
    <mergeCell ref="AH3:AK3"/>
    <mergeCell ref="Y16:AD16"/>
    <mergeCell ref="U30:X30"/>
    <mergeCell ref="AD3:AG3"/>
    <mergeCell ref="Z3:AC3"/>
    <mergeCell ref="V3:Y3"/>
    <mergeCell ref="U16:X16"/>
    <mergeCell ref="V17:Y17"/>
    <mergeCell ref="AP31:AS31"/>
    <mergeCell ref="R31:U31"/>
    <mergeCell ref="G30:J30"/>
    <mergeCell ref="AH31:AK31"/>
    <mergeCell ref="O44:S44"/>
    <mergeCell ref="AL45:AO45"/>
    <mergeCell ref="G44:J44"/>
    <mergeCell ref="V31:Y31"/>
    <mergeCell ref="Z31:AC31"/>
    <mergeCell ref="AD61:AE64"/>
    <mergeCell ref="Y44:AD44"/>
    <mergeCell ref="Z45:AC45"/>
    <mergeCell ref="Z17:AC17"/>
    <mergeCell ref="AD17:AG17"/>
    <mergeCell ref="R59:S61"/>
    <mergeCell ref="V59:W61"/>
    <mergeCell ref="T61:U64"/>
    <mergeCell ref="X61:Y64"/>
    <mergeCell ref="AR2:AS2"/>
    <mergeCell ref="AR16:AS16"/>
    <mergeCell ref="AR30:AS30"/>
    <mergeCell ref="F3:I3"/>
    <mergeCell ref="J3:M3"/>
    <mergeCell ref="Y2:AD2"/>
    <mergeCell ref="N3:Q3"/>
    <mergeCell ref="AL17:AO17"/>
    <mergeCell ref="AL3:AO3"/>
    <mergeCell ref="AP3:AS3"/>
    <mergeCell ref="B31:E31"/>
    <mergeCell ref="F31:I31"/>
    <mergeCell ref="J31:M31"/>
    <mergeCell ref="F17:I17"/>
    <mergeCell ref="J17:M17"/>
    <mergeCell ref="K30:N30"/>
    <mergeCell ref="B17:E17"/>
    <mergeCell ref="N31:Q31"/>
    <mergeCell ref="O30:S30"/>
    <mergeCell ref="R17:U17"/>
    <mergeCell ref="B64:C67"/>
    <mergeCell ref="F64:G67"/>
    <mergeCell ref="M64:N67"/>
    <mergeCell ref="N45:Q45"/>
    <mergeCell ref="A59:H59"/>
    <mergeCell ref="I64:J67"/>
    <mergeCell ref="B45:E45"/>
    <mergeCell ref="F45:I45"/>
    <mergeCell ref="J45:M45"/>
    <mergeCell ref="P67:AQ67"/>
    <mergeCell ref="B3:E3"/>
    <mergeCell ref="G2:J2"/>
    <mergeCell ref="G16:J16"/>
    <mergeCell ref="R3:U3"/>
    <mergeCell ref="K2:N2"/>
    <mergeCell ref="O2:S2"/>
    <mergeCell ref="U2:X2"/>
    <mergeCell ref="O16:S16"/>
    <mergeCell ref="K16:N16"/>
  </mergeCells>
  <conditionalFormatting sqref="S8 K6 W9 G5 O7 AM13 AA38:AA41 K34 W37 G33 O35 AM42 K20:K21 C32 S36 C4 W23 G19 AA24 AA10:AA12 AQ28 AM27 AE25:AE26 C18 S22 AQ42 AA52:AA55 K48 W51 G47 O49 AM56 C46 S50 AQ56 AQ14">
    <cfRule type="cellIs" priority="52" dxfId="124" operator="greaterThanOrEqual" stopIfTrue="1">
      <formula>E4</formula>
    </cfRule>
    <cfRule type="cellIs" priority="53" dxfId="125" operator="lessThanOrEqual" stopIfTrue="1">
      <formula>E4</formula>
    </cfRule>
  </conditionalFormatting>
  <conditionalFormatting sqref="U8 M6 Y9 I5 Q7 AO13 AC38:AC41 M34 Y37 I33 Q35 AO42 M20:M21 E32 U36 E4 Y23 I19 AC24 AC10:AC12 AS28 AO27 AS56 E18 U22 AS42 AC52:AC55 M48 Y51 I47 Q49 AO56 E46 U50 AG25:AG26 AH26:AK26 AS14">
    <cfRule type="cellIs" priority="54" dxfId="124" operator="lessThanOrEqual" stopIfTrue="1">
      <formula>C4</formula>
    </cfRule>
    <cfRule type="cellIs" priority="55" dxfId="125" operator="greaterThanOrEqual" stopIfTrue="1">
      <formula>C4</formula>
    </cfRule>
  </conditionalFormatting>
  <conditionalFormatting sqref="I4 M4:M5 Q4:Q6 U4:U7 AC13:AC14 AO14 I18 M18:M19 M22:M28 AO28 AG27:AK28 AC25:AC28 Y24:Y28 U23:U28 E5:E14 I32 M32:M33 Q32:Q34 U32:U35 Y32:Y36 AC32:AC37 AC42 E19:E28 AK18:AK25 I34:I42 M35:M42 Q36:Q42 U37:U42 Y38:Y42 AI14 E33:E42 I6:I14 M7:M14 Q8:Q14 U9:U14 Y10:Y14 U18:U21 Q18:Q28 I20:I28 AO4:AO12 AC18:AC23 Y18:Y22 I46 M46:M47 Q46:Q48 U46:U49 Y46:Y50 AC46:AC51 AC56 AK32:AK39 I48:I56 M49:M56 Q50:Q56 U51:U56 Y52:Y56 AS46:AS55 E47:E56 Y4:Y8 AK4:AK11 AC4:AC9 AG4:AG14 AS4:AS13 AG18:AG24 AK46:AK53 AH40:AK42 AG46:AG56 AH54:AK56 AG32:AG42 AO18:AO26 AO32:AO41 AO46:AO55 AS18:AS27 AH12:AH14 AJ12:AK14 AI12 AS32:AS37 AS39:AS41">
    <cfRule type="cellIs" priority="56" dxfId="124" operator="lessThan" stopIfTrue="1">
      <formula>C4</formula>
    </cfRule>
    <cfRule type="cellIs" priority="57" dxfId="125" operator="greaterThan" stopIfTrue="1">
      <formula>C4</formula>
    </cfRule>
    <cfRule type="cellIs" priority="58" dxfId="126" operator="equal" stopIfTrue="1">
      <formula>C4</formula>
    </cfRule>
  </conditionalFormatting>
  <conditionalFormatting sqref="G4 K4:K5 O4:O6 S4:S7 AE46:AE56 AA13:AA14 AM14 G18 K18:K19 K22:K28 AM28 AE27:AE28 AA25:AA28 W24:W28 S23:S28 G32 K32:K33 O32:O34 S32:S35 W32:W36 AA32:AA37 AA42 S18:S21 C33:C42 G34:G42 K35:K42 O36:O42 S37:S42 W38:W42 AI13 C5:C14 G6:G14 K7:K14 O8:O14 S9:S14 W10:W14 O18:O28 C19:C28 G20:G28 AE18:AE24 AA18:AA23 W18:W22 AE32:AE42 G46 K46:K47 O46:O48 S46:S49 W46:W50 AA46:AA51 AA56 C47:C56 G48:G56 K49:K56 O50:O56 S51:S56 W52:W56 AQ46:AQ55 W4:W8 AA4:AA9 AE4:AE14 AI4:AI11 AM4:AM12 AI18:AI25 AI32:AI39 AI46:AI53 AM18:AM26 AM32:AM41 AM46:AM55 AQ18:AQ27 AQ4:AQ13 AQ32:AQ37 AQ39:AQ41">
    <cfRule type="cellIs" priority="59" dxfId="124" operator="greaterThan" stopIfTrue="1">
      <formula>E4</formula>
    </cfRule>
    <cfRule type="cellIs" priority="60" dxfId="125" operator="lessThan" stopIfTrue="1">
      <formula>E4</formula>
    </cfRule>
    <cfRule type="cellIs" priority="61" dxfId="126" operator="equal" stopIfTrue="1">
      <formula>E4</formula>
    </cfRule>
  </conditionalFormatting>
  <conditionalFormatting sqref="AQ27">
    <cfRule type="cellIs" priority="50" dxfId="124" operator="greaterThanOrEqual" stopIfTrue="1">
      <formula>AS27</formula>
    </cfRule>
    <cfRule type="cellIs" priority="51" dxfId="125" operator="lessThanOrEqual" stopIfTrue="1">
      <formula>AS27</formula>
    </cfRule>
  </conditionalFormatting>
  <conditionalFormatting sqref="AS27">
    <cfRule type="cellIs" priority="48" dxfId="124" operator="lessThanOrEqual" stopIfTrue="1">
      <formula>AQ27</formula>
    </cfRule>
    <cfRule type="cellIs" priority="49" dxfId="125" operator="greaterThanOrEqual" stopIfTrue="1">
      <formula>AQ27</formula>
    </cfRule>
  </conditionalFormatting>
  <conditionalFormatting sqref="AA55">
    <cfRule type="cellIs" priority="45" dxfId="124" operator="greaterThan" stopIfTrue="1">
      <formula>AC55</formula>
    </cfRule>
    <cfRule type="cellIs" priority="46" dxfId="125" operator="lessThan" stopIfTrue="1">
      <formula>AC55</formula>
    </cfRule>
    <cfRule type="cellIs" priority="47" dxfId="126" operator="equal" stopIfTrue="1">
      <formula>AC55</formula>
    </cfRule>
  </conditionalFormatting>
  <conditionalFormatting sqref="AC55">
    <cfRule type="cellIs" priority="42" dxfId="124" operator="lessThan" stopIfTrue="1">
      <formula>AA55</formula>
    </cfRule>
    <cfRule type="cellIs" priority="43" dxfId="125" operator="greaterThan" stopIfTrue="1">
      <formula>AA55</formula>
    </cfRule>
    <cfRule type="cellIs" priority="44" dxfId="126" operator="equal" stopIfTrue="1">
      <formula>AA55</formula>
    </cfRule>
  </conditionalFormatting>
  <conditionalFormatting sqref="K21">
    <cfRule type="cellIs" priority="39" dxfId="124" operator="greaterThan" stopIfTrue="1">
      <formula>M21</formula>
    </cfRule>
    <cfRule type="cellIs" priority="40" dxfId="125" operator="lessThan" stopIfTrue="1">
      <formula>M21</formula>
    </cfRule>
    <cfRule type="cellIs" priority="41" dxfId="126" operator="equal" stopIfTrue="1">
      <formula>M21</formula>
    </cfRule>
  </conditionalFormatting>
  <conditionalFormatting sqref="M21">
    <cfRule type="cellIs" priority="36" dxfId="124" operator="lessThan" stopIfTrue="1">
      <formula>K21</formula>
    </cfRule>
    <cfRule type="cellIs" priority="37" dxfId="125" operator="greaterThan" stopIfTrue="1">
      <formula>K21</formula>
    </cfRule>
    <cfRule type="cellIs" priority="38" dxfId="126" operator="equal" stopIfTrue="1">
      <formula>K21</formula>
    </cfRule>
  </conditionalFormatting>
  <conditionalFormatting sqref="AA11">
    <cfRule type="cellIs" priority="33" dxfId="124" operator="greaterThan" stopIfTrue="1">
      <formula>AC11</formula>
    </cfRule>
    <cfRule type="cellIs" priority="34" dxfId="125" operator="lessThan" stopIfTrue="1">
      <formula>AC11</formula>
    </cfRule>
    <cfRule type="cellIs" priority="35" dxfId="126" operator="equal" stopIfTrue="1">
      <formula>AC11</formula>
    </cfRule>
  </conditionalFormatting>
  <conditionalFormatting sqref="AC11">
    <cfRule type="cellIs" priority="31" dxfId="124" operator="greaterThanOrEqual" stopIfTrue="1">
      <formula>AE11</formula>
    </cfRule>
    <cfRule type="cellIs" priority="32" dxfId="125" operator="lessThanOrEqual" stopIfTrue="1">
      <formula>AE11</formula>
    </cfRule>
  </conditionalFormatting>
  <conditionalFormatting sqref="AC11">
    <cfRule type="cellIs" priority="28" dxfId="124" operator="greaterThan" stopIfTrue="1">
      <formula>AE11</formula>
    </cfRule>
    <cfRule type="cellIs" priority="29" dxfId="125" operator="lessThan" stopIfTrue="1">
      <formula>AE11</formula>
    </cfRule>
    <cfRule type="cellIs" priority="30" dxfId="126" operator="equal" stopIfTrue="1">
      <formula>AE11</formula>
    </cfRule>
  </conditionalFormatting>
  <conditionalFormatting sqref="AC11">
    <cfRule type="cellIs" priority="25" dxfId="124" operator="lessThan" stopIfTrue="1">
      <formula>AA11</formula>
    </cfRule>
    <cfRule type="cellIs" priority="26" dxfId="125" operator="greaterThan" stopIfTrue="1">
      <formula>AA11</formula>
    </cfRule>
    <cfRule type="cellIs" priority="27" dxfId="126" operator="equal" stopIfTrue="1">
      <formula>AA11</formula>
    </cfRule>
  </conditionalFormatting>
  <conditionalFormatting sqref="AQ13">
    <cfRule type="cellIs" priority="23" dxfId="124" operator="greaterThanOrEqual" stopIfTrue="1">
      <formula>AS13</formula>
    </cfRule>
    <cfRule type="cellIs" priority="24" dxfId="125" operator="lessThanOrEqual" stopIfTrue="1">
      <formula>AS13</formula>
    </cfRule>
  </conditionalFormatting>
  <conditionalFormatting sqref="AS13">
    <cfRule type="cellIs" priority="21" dxfId="124" operator="lessThanOrEqual" stopIfTrue="1">
      <formula>AQ13</formula>
    </cfRule>
    <cfRule type="cellIs" priority="22" dxfId="125" operator="greaterThanOrEqual" stopIfTrue="1">
      <formula>AQ13</formula>
    </cfRule>
  </conditionalFormatting>
  <conditionalFormatting sqref="AI55">
    <cfRule type="cellIs" priority="18" dxfId="124" operator="greaterThan" stopIfTrue="1">
      <formula>AK55</formula>
    </cfRule>
    <cfRule type="cellIs" priority="19" dxfId="125" operator="lessThan" stopIfTrue="1">
      <formula>AK55</formula>
    </cfRule>
    <cfRule type="cellIs" priority="20" dxfId="126" operator="equal" stopIfTrue="1">
      <formula>AK55</formula>
    </cfRule>
  </conditionalFormatting>
  <conditionalFormatting sqref="AS38">
    <cfRule type="cellIs" priority="15" dxfId="124" operator="lessThan" stopIfTrue="1">
      <formula>AQ38</formula>
    </cfRule>
    <cfRule type="cellIs" priority="16" dxfId="125" operator="greaterThan" stopIfTrue="1">
      <formula>AQ38</formula>
    </cfRule>
    <cfRule type="cellIs" priority="17" dxfId="126" operator="equal" stopIfTrue="1">
      <formula>AQ38</formula>
    </cfRule>
  </conditionalFormatting>
  <conditionalFormatting sqref="AQ38">
    <cfRule type="cellIs" priority="12" dxfId="124" operator="greaterThan" stopIfTrue="1">
      <formula>AS38</formula>
    </cfRule>
    <cfRule type="cellIs" priority="13" dxfId="125" operator="lessThan" stopIfTrue="1">
      <formula>AS38</formula>
    </cfRule>
    <cfRule type="cellIs" priority="14" dxfId="126" operator="equal" stopIfTrue="1">
      <formula>AS38</formula>
    </cfRule>
  </conditionalFormatting>
  <conditionalFormatting sqref="AA12">
    <cfRule type="cellIs" priority="9" dxfId="124" operator="greaterThan" stopIfTrue="1">
      <formula>AC12</formula>
    </cfRule>
    <cfRule type="cellIs" priority="10" dxfId="125" operator="lessThan" stopIfTrue="1">
      <formula>AC12</formula>
    </cfRule>
    <cfRule type="cellIs" priority="11" dxfId="126" operator="equal" stopIfTrue="1">
      <formula>AC12</formula>
    </cfRule>
  </conditionalFormatting>
  <conditionalFormatting sqref="AC12">
    <cfRule type="cellIs" priority="7" dxfId="124" operator="greaterThanOrEqual" stopIfTrue="1">
      <formula>AE12</formula>
    </cfRule>
    <cfRule type="cellIs" priority="8" dxfId="125" operator="lessThanOrEqual" stopIfTrue="1">
      <formula>AE12</formula>
    </cfRule>
  </conditionalFormatting>
  <conditionalFormatting sqref="AC12">
    <cfRule type="cellIs" priority="4" dxfId="124" operator="greaterThan" stopIfTrue="1">
      <formula>AE12</formula>
    </cfRule>
    <cfRule type="cellIs" priority="5" dxfId="125" operator="lessThan" stopIfTrue="1">
      <formula>AE12</formula>
    </cfRule>
    <cfRule type="cellIs" priority="6" dxfId="126" operator="equal" stopIfTrue="1">
      <formula>AE12</formula>
    </cfRule>
  </conditionalFormatting>
  <conditionalFormatting sqref="AC12">
    <cfRule type="cellIs" priority="1" dxfId="124" operator="lessThan" stopIfTrue="1">
      <formula>AA12</formula>
    </cfRule>
    <cfRule type="cellIs" priority="2" dxfId="125" operator="greaterThan" stopIfTrue="1">
      <formula>AA12</formula>
    </cfRule>
    <cfRule type="cellIs" priority="3" dxfId="126" operator="equal" stopIfTrue="1">
      <formula>AA12</formula>
    </cfRule>
  </conditionalFormatting>
  <printOptions horizontalCentered="1"/>
  <pageMargins left="0.3937007874015748" right="0.3937007874015748" top="0.984251968503937" bottom="0.5511811023622047" header="0.5118110236220472" footer="0.5118110236220472"/>
  <pageSetup cellComments="asDisplayed" horizontalDpi="300" verticalDpi="300" orientation="landscape" paperSize="8" scale="97" r:id="rId4"/>
  <headerFooter alignWithMargins="0">
    <oddHeader>&amp;C２０１２年小金原地区近隣大会Ｂ戦組み合わせ表</oddHeader>
  </headerFooter>
  <rowBreaks count="1" manualBreakCount="1">
    <brk id="29" max="54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215"/>
  <sheetViews>
    <sheetView zoomScaleSheetLayoutView="100" workbookViewId="0" topLeftCell="A1">
      <selection activeCell="T60" sqref="T60:U63"/>
    </sheetView>
  </sheetViews>
  <sheetFormatPr defaultColWidth="9.00390625" defaultRowHeight="19.5" customHeight="1"/>
  <cols>
    <col min="1" max="1" width="15.125" style="3" customWidth="1"/>
    <col min="2" max="6" width="2.625" style="3" customWidth="1"/>
    <col min="7" max="7" width="3.125" style="3" customWidth="1"/>
    <col min="8" max="18" width="2.625" style="3" customWidth="1"/>
    <col min="19" max="19" width="3.25390625" style="3" customWidth="1"/>
    <col min="20" max="39" width="2.625" style="3" customWidth="1"/>
    <col min="40" max="40" width="2.625" style="23" customWidth="1"/>
    <col min="41" max="45" width="2.625" style="3" customWidth="1"/>
    <col min="46" max="55" width="3.625" style="3" customWidth="1"/>
    <col min="56" max="56" width="3.00390625" style="3" customWidth="1"/>
    <col min="57" max="57" width="3.375" style="3" customWidth="1"/>
    <col min="58" max="58" width="4.25390625" style="3" customWidth="1"/>
    <col min="59" max="59" width="14.75390625" style="3" customWidth="1"/>
    <col min="60" max="62" width="5.875" style="3" customWidth="1"/>
    <col min="63" max="63" width="5.125" style="3" customWidth="1"/>
    <col min="64" max="64" width="4.625" style="3" customWidth="1"/>
    <col min="65" max="65" width="16.25390625" style="3" customWidth="1"/>
    <col min="66" max="68" width="4.625" style="3" customWidth="1"/>
    <col min="69" max="69" width="3.25390625" style="3" customWidth="1"/>
    <col min="70" max="70" width="3.125" style="3" customWidth="1"/>
    <col min="71" max="71" width="3.625" style="3" customWidth="1"/>
    <col min="72" max="72" width="17.375" style="3" customWidth="1"/>
    <col min="73" max="73" width="6.25390625" style="3" customWidth="1"/>
    <col min="74" max="74" width="3.875" style="3" customWidth="1"/>
    <col min="75" max="75" width="3.75390625" style="3" customWidth="1"/>
    <col min="76" max="76" width="21.00390625" style="3" customWidth="1"/>
    <col min="77" max="16384" width="9.00390625" style="3" customWidth="1"/>
  </cols>
  <sheetData>
    <row r="1" spans="1:57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9.5" customHeight="1">
      <c r="A2" s="1" t="s">
        <v>0</v>
      </c>
      <c r="B2" s="90" t="s">
        <v>71</v>
      </c>
      <c r="C2" s="58"/>
      <c r="D2" s="58"/>
      <c r="E2" s="58"/>
      <c r="F2" s="58"/>
      <c r="G2" s="158" t="str">
        <f>"１日"&amp;ROUND((BV15-BU15)/'戦績'!N42,1)&amp;"試合"</f>
        <v>１日1試合</v>
      </c>
      <c r="H2" s="158"/>
      <c r="I2" s="158"/>
      <c r="J2" s="158"/>
      <c r="K2" s="153" t="s">
        <v>24</v>
      </c>
      <c r="L2" s="153"/>
      <c r="M2" s="153"/>
      <c r="N2" s="153"/>
      <c r="O2" s="154" t="str">
        <f>IF(C71&gt;C70,+BM4,"")</f>
        <v>光インパルス</v>
      </c>
      <c r="P2" s="154"/>
      <c r="Q2" s="154"/>
      <c r="R2" s="154"/>
      <c r="S2" s="154"/>
      <c r="T2" s="59"/>
      <c r="U2" s="153" t="s">
        <v>25</v>
      </c>
      <c r="V2" s="153"/>
      <c r="W2" s="153"/>
      <c r="X2" s="153"/>
      <c r="Y2" s="154" t="str">
        <f>IF(C71&gt;C70,+BM5,"")</f>
        <v>高塚新田ラークス</v>
      </c>
      <c r="Z2" s="154"/>
      <c r="AA2" s="154"/>
      <c r="AB2" s="154"/>
      <c r="AC2" s="154"/>
      <c r="AD2" s="154"/>
      <c r="AE2" s="1"/>
      <c r="AF2" s="1"/>
      <c r="AG2" s="1"/>
      <c r="AH2" s="1"/>
      <c r="AI2" s="1"/>
      <c r="AJ2" s="1"/>
      <c r="AK2" s="1"/>
      <c r="AL2" s="1"/>
      <c r="AM2" s="1"/>
      <c r="AN2" s="61" t="s">
        <v>30</v>
      </c>
      <c r="AO2" s="1"/>
      <c r="AP2" s="1"/>
      <c r="AQ2" s="1"/>
      <c r="AR2" s="177">
        <f>+BU15/(MAX(BF4:BF13)*(MAX(BF4:BF13)-1)/2)</f>
        <v>0.8928571428571429</v>
      </c>
      <c r="AS2" s="177"/>
      <c r="AT2" s="1"/>
      <c r="AU2" s="1"/>
      <c r="AV2" s="1"/>
      <c r="AW2" s="1" t="s">
        <v>17</v>
      </c>
      <c r="AX2" s="1" t="s">
        <v>18</v>
      </c>
      <c r="AY2" s="1" t="s">
        <v>19</v>
      </c>
      <c r="AZ2" s="1"/>
      <c r="BA2" s="1"/>
      <c r="BB2" s="1"/>
      <c r="BC2" s="1"/>
      <c r="BD2" s="1"/>
      <c r="BE2" s="1"/>
    </row>
    <row r="3" spans="1:73" ht="19.5" customHeight="1">
      <c r="A3" s="5"/>
      <c r="B3" s="152" t="str">
        <f>+A4</f>
        <v>双葉</v>
      </c>
      <c r="C3" s="152"/>
      <c r="D3" s="152"/>
      <c r="E3" s="152"/>
      <c r="F3" s="152" t="str">
        <f>+A5</f>
        <v>高塚新田ラークス</v>
      </c>
      <c r="G3" s="152"/>
      <c r="H3" s="152"/>
      <c r="I3" s="152"/>
      <c r="J3" s="152" t="str">
        <f>+A6</f>
        <v>八柱サンジュニアーズ</v>
      </c>
      <c r="K3" s="152"/>
      <c r="L3" s="152"/>
      <c r="M3" s="152"/>
      <c r="N3" s="152" t="str">
        <f>+A7</f>
        <v>五香メッツ</v>
      </c>
      <c r="O3" s="152"/>
      <c r="P3" s="152"/>
      <c r="Q3" s="152"/>
      <c r="R3" s="152" t="str">
        <f>+A8</f>
        <v>藤心ジャガース</v>
      </c>
      <c r="S3" s="152"/>
      <c r="T3" s="152"/>
      <c r="U3" s="152"/>
      <c r="V3" s="152" t="str">
        <f>+A9</f>
        <v>木刈ファイターズ</v>
      </c>
      <c r="W3" s="152"/>
      <c r="X3" s="152"/>
      <c r="Y3" s="152"/>
      <c r="Z3" s="152" t="str">
        <f>+A10</f>
        <v>光ヶ丘シャークス</v>
      </c>
      <c r="AA3" s="152"/>
      <c r="AB3" s="152"/>
      <c r="AC3" s="152"/>
      <c r="AD3" s="152" t="str">
        <f>+A11</f>
        <v>光インパルス</v>
      </c>
      <c r="AE3" s="152"/>
      <c r="AF3" s="152"/>
      <c r="AG3" s="152"/>
      <c r="AH3" s="152">
        <f>+A12</f>
        <v>0</v>
      </c>
      <c r="AI3" s="152"/>
      <c r="AJ3" s="152"/>
      <c r="AK3" s="152"/>
      <c r="AL3" s="152">
        <f>A13</f>
        <v>0</v>
      </c>
      <c r="AM3" s="152"/>
      <c r="AN3" s="152"/>
      <c r="AO3" s="152"/>
      <c r="AP3" s="152"/>
      <c r="AQ3" s="152"/>
      <c r="AR3" s="152"/>
      <c r="AS3" s="152"/>
      <c r="AT3" s="32" t="s">
        <v>7</v>
      </c>
      <c r="AU3" s="32" t="s">
        <v>8</v>
      </c>
      <c r="AV3" s="32" t="s">
        <v>9</v>
      </c>
      <c r="AW3" s="33" t="s">
        <v>14</v>
      </c>
      <c r="AX3" s="34" t="s">
        <v>15</v>
      </c>
      <c r="AY3" s="35" t="s">
        <v>16</v>
      </c>
      <c r="AZ3" s="36" t="s">
        <v>10</v>
      </c>
      <c r="BA3" s="32" t="s">
        <v>11</v>
      </c>
      <c r="BB3" s="32" t="s">
        <v>12</v>
      </c>
      <c r="BC3" s="32" t="s">
        <v>13</v>
      </c>
      <c r="BF3" s="48"/>
      <c r="BG3" s="48" t="s">
        <v>21</v>
      </c>
      <c r="BH3" s="48" t="s">
        <v>22</v>
      </c>
      <c r="BI3" s="3" t="s">
        <v>36</v>
      </c>
      <c r="BJ3" s="3" t="s">
        <v>37</v>
      </c>
      <c r="BK3" s="48"/>
      <c r="BL3" s="48"/>
      <c r="BT3" s="3" t="s">
        <v>21</v>
      </c>
      <c r="BU3" s="3" t="s">
        <v>23</v>
      </c>
    </row>
    <row r="4" spans="1:76" ht="19.5" customHeight="1">
      <c r="A4" s="107" t="s">
        <v>104</v>
      </c>
      <c r="B4" s="43"/>
      <c r="C4" s="44"/>
      <c r="D4" s="44"/>
      <c r="E4" s="45"/>
      <c r="F4" s="43"/>
      <c r="G4" s="44">
        <f>IF(E5="","",E5)</f>
        <v>5</v>
      </c>
      <c r="H4" s="44"/>
      <c r="I4" s="45">
        <f>IF(C5="","",C5)</f>
        <v>4</v>
      </c>
      <c r="J4" s="43"/>
      <c r="K4" s="44">
        <f>IF(E6="","",E6)</f>
        <v>5</v>
      </c>
      <c r="L4" s="44"/>
      <c r="M4" s="45">
        <f>IF(C6="","",C6)</f>
        <v>7</v>
      </c>
      <c r="N4" s="43"/>
      <c r="O4" s="44">
        <f>IF(E7="","",E7)</f>
      </c>
      <c r="P4" s="44"/>
      <c r="Q4" s="45">
        <f>IF(C7="","",C7)</f>
      </c>
      <c r="R4" s="43"/>
      <c r="S4" s="44">
        <f>IF(E8="","",E8)</f>
        <v>11</v>
      </c>
      <c r="T4" s="44"/>
      <c r="U4" s="45">
        <f>IF(C8="","",C8)</f>
        <v>12</v>
      </c>
      <c r="V4" s="43"/>
      <c r="W4" s="44">
        <f>IF(E9="","",E9)</f>
        <v>12</v>
      </c>
      <c r="X4" s="44"/>
      <c r="Y4" s="45">
        <f>IF(C9="","",C9)</f>
        <v>6</v>
      </c>
      <c r="Z4" s="43"/>
      <c r="AA4" s="44">
        <f>IF(E10="","",E10)</f>
        <v>5</v>
      </c>
      <c r="AB4" s="44"/>
      <c r="AC4" s="45">
        <f>IF(C10="","",C10)</f>
        <v>19</v>
      </c>
      <c r="AD4" s="43"/>
      <c r="AE4" s="44">
        <f>IF(E11="","",E11)</f>
        <v>4</v>
      </c>
      <c r="AF4" s="44"/>
      <c r="AG4" s="45">
        <f>IF(C11="","",C11)</f>
        <v>2</v>
      </c>
      <c r="AH4" s="43"/>
      <c r="AI4" s="44">
        <f>IF(E12="","",E12)</f>
      </c>
      <c r="AJ4" s="44"/>
      <c r="AK4" s="45">
        <f>IF(C12="","",C12)</f>
      </c>
      <c r="AL4" s="43"/>
      <c r="AM4" s="44">
        <f>IF(E13="","",E13)</f>
      </c>
      <c r="AN4" s="44"/>
      <c r="AO4" s="45">
        <f>IF(C13="","",C13)</f>
      </c>
      <c r="AP4" s="43"/>
      <c r="AQ4" s="44">
        <f>IF(E14="","",E14)</f>
      </c>
      <c r="AR4" s="44"/>
      <c r="AS4" s="45">
        <f>IF(C14="","",C14)</f>
      </c>
      <c r="AT4" s="47">
        <f>IF(C4&gt;E4,1,0)+IF(G4&gt;I4,1,0)+IF(K4&gt;M4,1,0)+IF(O4&gt;Q4,1,0)+IF(S4&gt;U4,1,0)+IF(W4&gt;Y4,1,0)+IF(AA4&gt;AC4,1,0)+IF(AE4&gt;AG4,1,0)+IF(AM4&gt;AO4,1,0)+IF(AQ4&gt;AS4,1,0)+IF(AI4&gt;AK4,1,0)</f>
        <v>3</v>
      </c>
      <c r="AU4" s="37">
        <f>IF(C4&lt;E4,1,0)+IF(G4&lt;I4,1,0)+IF(K4&lt;M4,1,0)+IF(O4&lt;Q4,1,0)+IF(S4&lt;U4,1,0)+IF(W4&lt;Y4,1,0)+IF(AA4&lt;AC4,1,0)+IF(AE4&lt;AG4,1,0)+IF(AM4&lt;AO4,1,0)+IF(AQ4&lt;AS4,1,0)+IF(AI4&lt;AK4,1,0)</f>
        <v>3</v>
      </c>
      <c r="AV4" s="37">
        <f>IF(AND(ISNUMBER(C4),C4=E4),1,0)+IF(AND(ISNUMBER(G4),G4=I4),1,0)+IF(AND(ISNUMBER(K4),K4=M4),1,)+IF(AND(ISNUMBER(O4),O4=Q4),1,0)+IF(AND(ISNUMBER(S4),S4=U4),1,0)+IF(AND(ISNUMBER(W4),W4=Y4),1,0)+IF(AND(ISNUMBER(AA4),AA4=AC4),1,0)+IF(AND(ISNUMBER(AE4),AE4=AG4),1,0)+IF(AND(ISNUMBER(AM4),AM4=AO4),1,0)+IF(AND(ISNUMBER(AQ4),AQ4=AS4),1,0)+IF(AND(ISNUMBER(AI4),AI4=AK4),1,0)</f>
        <v>0</v>
      </c>
      <c r="AW4" s="38">
        <f>AT4*2</f>
        <v>6</v>
      </c>
      <c r="AX4" s="39">
        <f>AU4*0</f>
        <v>0</v>
      </c>
      <c r="AY4" s="40">
        <f>AV4*1</f>
        <v>0</v>
      </c>
      <c r="AZ4" s="41">
        <f>AW4+AX4+AY4</f>
        <v>6</v>
      </c>
      <c r="BA4" s="37">
        <f>IF(ISNUMBER(G4),G4,0)+IF(ISNUMBER(K4),K4,0)+IF(ISNUMBER(O4),O4,0)+IF(ISNUMBER(AA4),AA4,0)+IF(ISNUMBER(AE4),AE4,0)+IF(ISNUMBER(AM4),AM4,0)+IF(ISNUMBER(S4),S4,0)+IF(ISNUMBER(W4),W4,0)+IF(ISNUMBER(C4),C4,0)+IF(ISNUMBER(AQ4),AQ4,0)+IF(ISNUMBER(AI4),AI4,0)</f>
        <v>42</v>
      </c>
      <c r="BB4" s="37">
        <f>IF(ISNUMBER(I4),I4,0)+IF(ISNUMBER(M4),M4,0)+IF(ISNUMBER(Q4),Q4,0)+IF(ISNUMBER(AC4),AC4,0)+IF(ISNUMBER(AG4),AG4,0)+IF(ISNUMBER(AO4),AO4,0)+IF(ISNUMBER(U4),U4,0)+IF(ISNUMBER(Y4),Y4,0)+IF(ISNUMBER(E4),E4,0)+IF(ISNUMBER(AS4),AS4,0)+IF(ISNUMBER(AK4),AK4,0)</f>
        <v>50</v>
      </c>
      <c r="BC4" s="37">
        <f>BA4-BB4</f>
        <v>-8</v>
      </c>
      <c r="BF4" s="49">
        <f>BK4+COUNTIF(BK3:BK$3,BK4)</f>
        <v>5</v>
      </c>
      <c r="BG4" s="51" t="str">
        <f>+A4</f>
        <v>双葉</v>
      </c>
      <c r="BH4" s="49">
        <f>+AZ4</f>
        <v>6</v>
      </c>
      <c r="BI4" s="49">
        <f>+AT4</f>
        <v>3</v>
      </c>
      <c r="BJ4" s="49">
        <f>+AT4+AU4+AV4</f>
        <v>6</v>
      </c>
      <c r="BK4" s="49">
        <f>RANK(BH4,BH$4:BH$11)</f>
        <v>5</v>
      </c>
      <c r="BL4" s="50">
        <f>VLOOKUP(ROW(BF1),$BF$4:$BK$11,6,FALSE)</f>
        <v>1</v>
      </c>
      <c r="BM4" s="52" t="str">
        <f>VLOOKUP(ROW(BF1),$BF$4:$BK$11,2,FALSE)</f>
        <v>光インパルス</v>
      </c>
      <c r="BN4" s="52">
        <f>VLOOKUP(ROW(BF1),$BF$4:$BK$11,3,FALSE)</f>
        <v>11</v>
      </c>
      <c r="BO4" s="52">
        <f>VLOOKUP(ROW(BF1),$BF$4:$BK$11,4,FALSE)</f>
        <v>5</v>
      </c>
      <c r="BP4" s="52">
        <f>VLOOKUP(ROW(BF1),$BF$4:$BK$11,5,FALSE)</f>
        <v>7</v>
      </c>
      <c r="BQ4" s="62"/>
      <c r="BS4" s="49">
        <f>BV4+COUNTIF(BV3:BV$3,BV4)</f>
        <v>5</v>
      </c>
      <c r="BT4" s="51" t="str">
        <f>+BG4</f>
        <v>双葉</v>
      </c>
      <c r="BU4" s="49">
        <f>COUNT(B4:AS4)/2</f>
        <v>6</v>
      </c>
      <c r="BV4" s="49">
        <f>RANK(BU4,BU$4:BU$11)</f>
        <v>5</v>
      </c>
      <c r="BW4" s="50">
        <f>VLOOKUP(ROW(BS1),$BS$4:$BV$11,4,FALSE)</f>
        <v>1</v>
      </c>
      <c r="BX4" s="52" t="str">
        <f>VLOOKUP(ROW(BT1),$BS$4:$BV$11,2,FALSE)</f>
        <v>八柱サンジュニアーズ</v>
      </c>
    </row>
    <row r="5" spans="1:76" ht="19.5" customHeight="1">
      <c r="A5" s="107" t="s">
        <v>88</v>
      </c>
      <c r="B5" s="43"/>
      <c r="C5" s="44">
        <v>4</v>
      </c>
      <c r="D5" s="44"/>
      <c r="E5" s="45">
        <v>5</v>
      </c>
      <c r="F5" s="43"/>
      <c r="G5" s="44"/>
      <c r="H5" s="44"/>
      <c r="I5" s="45"/>
      <c r="J5" s="43"/>
      <c r="K5" s="44">
        <f>IF(I6="","",I6)</f>
        <v>11</v>
      </c>
      <c r="L5" s="44"/>
      <c r="M5" s="45">
        <f>IF(G6="","",G6)</f>
        <v>5</v>
      </c>
      <c r="N5" s="43"/>
      <c r="O5" s="44">
        <f>IF(I7="","",I7)</f>
        <v>10</v>
      </c>
      <c r="P5" s="44"/>
      <c r="Q5" s="45">
        <f>IF(G7="","",G7)</f>
        <v>9</v>
      </c>
      <c r="R5" s="43"/>
      <c r="S5" s="44">
        <f>IF(I8="","",I8)</f>
        <v>8</v>
      </c>
      <c r="T5" s="44"/>
      <c r="U5" s="45">
        <f>IF(G8="","",G8)</f>
        <v>5</v>
      </c>
      <c r="V5" s="43"/>
      <c r="W5" s="44">
        <f>IF(I9="","",I9)</f>
        <v>20</v>
      </c>
      <c r="X5" s="44"/>
      <c r="Y5" s="45">
        <f>IF(G9="","",G9)</f>
        <v>4</v>
      </c>
      <c r="Z5" s="43"/>
      <c r="AA5" s="44">
        <f>IF(I10="","",I10)</f>
      </c>
      <c r="AB5" s="44"/>
      <c r="AC5" s="45">
        <f>IF(G10="","",G10)</f>
      </c>
      <c r="AD5" s="43"/>
      <c r="AE5" s="44">
        <f>IF(I11="","",I11)</f>
        <v>2</v>
      </c>
      <c r="AF5" s="44"/>
      <c r="AG5" s="45">
        <f>IF(G11="","",G11)</f>
        <v>2</v>
      </c>
      <c r="AH5" s="43"/>
      <c r="AI5" s="44">
        <f>IF(I12="","",I12)</f>
      </c>
      <c r="AJ5" s="44"/>
      <c r="AK5" s="45">
        <f>IF(G12="","",G12)</f>
      </c>
      <c r="AL5" s="43"/>
      <c r="AM5" s="44">
        <f>IF(I13="","",I13)</f>
      </c>
      <c r="AN5" s="44"/>
      <c r="AO5" s="45">
        <f>IF(G13="","",G13)</f>
      </c>
      <c r="AP5" s="43"/>
      <c r="AQ5" s="44">
        <f>IF(I14="","",I14)</f>
      </c>
      <c r="AR5" s="44"/>
      <c r="AS5" s="45">
        <f>IF(G14="","",G14)</f>
      </c>
      <c r="AT5" s="47">
        <f aca="true" t="shared" si="0" ref="AT5:AT11">IF(C5&gt;E5,1,0)+IF(G5&gt;I5,1,0)+IF(K5&gt;M5,1,0)+IF(O5&gt;Q5,1,0)+IF(S5&gt;U5,1,0)+IF(W5&gt;Y5,1,0)+IF(AA5&gt;AC5,1,0)+IF(AE5&gt;AG5,1,0)+IF(AM5&gt;AO5,1,0)+IF(AQ5&gt;AS5,1,0)+IF(AI5&gt;AK5,1,0)</f>
        <v>4</v>
      </c>
      <c r="AU5" s="37">
        <f aca="true" t="shared" si="1" ref="AU5:AU11">IF(C5&lt;E5,1,0)+IF(G5&lt;I5,1,0)+IF(K5&lt;M5,1,0)+IF(O5&lt;Q5,1,0)+IF(S5&lt;U5,1,0)+IF(W5&lt;Y5,1,0)+IF(AA5&lt;AC5,1,0)+IF(AE5&lt;AG5,1,0)+IF(AM5&lt;AO5,1,0)+IF(AQ5&lt;AS5,1,0)+IF(AI5&lt;AK5,1,0)</f>
        <v>1</v>
      </c>
      <c r="AV5" s="37">
        <f aca="true" t="shared" si="2" ref="AV5:AV11">IF(AND(ISNUMBER(C5),C5=E5),1,0)+IF(AND(ISNUMBER(G5),G5=I5),1,0)+IF(AND(ISNUMBER(K5),K5=M5),1,)+IF(AND(ISNUMBER(O5),O5=Q5),1,0)+IF(AND(ISNUMBER(S5),S5=U5),1,0)+IF(AND(ISNUMBER(W5),W5=Y5),1,0)+IF(AND(ISNUMBER(AA5),AA5=AC5),1,0)+IF(AND(ISNUMBER(AE5),AE5=AG5),1,0)+IF(AND(ISNUMBER(AM5),AM5=AO5),1,0)+IF(AND(ISNUMBER(AQ5),AQ5=AS5),1,0)+IF(AND(ISNUMBER(AI5),AI5=AK5),1,0)</f>
        <v>1</v>
      </c>
      <c r="AW5" s="38">
        <f aca="true" t="shared" si="3" ref="AW5:AW11">AT5*2</f>
        <v>8</v>
      </c>
      <c r="AX5" s="39">
        <f aca="true" t="shared" si="4" ref="AX5:AX11">AU5*0</f>
        <v>0</v>
      </c>
      <c r="AY5" s="40">
        <f aca="true" t="shared" si="5" ref="AY5:AY11">AV5*1</f>
        <v>1</v>
      </c>
      <c r="AZ5" s="41">
        <f aca="true" t="shared" si="6" ref="AZ5:AZ11">AW5+AX5+AY5</f>
        <v>9</v>
      </c>
      <c r="BA5" s="37">
        <f aca="true" t="shared" si="7" ref="BA5:BA11">IF(ISNUMBER(G5),G5,0)+IF(ISNUMBER(K5),K5,0)+IF(ISNUMBER(O5),O5,0)+IF(ISNUMBER(AA5),AA5,0)+IF(ISNUMBER(AE5),AE5,0)+IF(ISNUMBER(AM5),AM5,0)+IF(ISNUMBER(S5),S5,0)+IF(ISNUMBER(W5),W5,0)+IF(ISNUMBER(C5),C5,0)+IF(ISNUMBER(AQ5),AQ5,0)+IF(ISNUMBER(AI5),AI5,0)</f>
        <v>55</v>
      </c>
      <c r="BB5" s="37">
        <f aca="true" t="shared" si="8" ref="BB5:BB11">IF(ISNUMBER(I5),I5,0)+IF(ISNUMBER(M5),M5,0)+IF(ISNUMBER(Q5),Q5,0)+IF(ISNUMBER(AC5),AC5,0)+IF(ISNUMBER(AG5),AG5,0)+IF(ISNUMBER(AO5),AO5,0)+IF(ISNUMBER(U5),U5,0)+IF(ISNUMBER(Y5),Y5,0)+IF(ISNUMBER(E5),E5,0)+IF(ISNUMBER(AS5),AS5,0)+IF(ISNUMBER(AK5),AK5,0)</f>
        <v>30</v>
      </c>
      <c r="BC5" s="37">
        <f aca="true" t="shared" si="9" ref="BC5:BC11">BA5-BB5</f>
        <v>25</v>
      </c>
      <c r="BF5" s="49">
        <f>BK5+COUNTIF(BK$3:BK4,BK5)</f>
        <v>2</v>
      </c>
      <c r="BG5" s="51" t="str">
        <f aca="true" t="shared" si="10" ref="BG5:BG11">+A5</f>
        <v>高塚新田ラークス</v>
      </c>
      <c r="BH5" s="49">
        <f aca="true" t="shared" si="11" ref="BH5:BH11">+AZ5</f>
        <v>9</v>
      </c>
      <c r="BI5" s="49">
        <f aca="true" t="shared" si="12" ref="BI5:BI11">+AT5</f>
        <v>4</v>
      </c>
      <c r="BJ5" s="49">
        <f aca="true" t="shared" si="13" ref="BJ5:BJ11">+AT5+AU5+AV5</f>
        <v>6</v>
      </c>
      <c r="BK5" s="49">
        <f aca="true" t="shared" si="14" ref="BK5:BK11">RANK(BH5,BH$4:BH$13)</f>
        <v>2</v>
      </c>
      <c r="BL5" s="50">
        <f aca="true" t="shared" si="15" ref="BL5:BL11">VLOOKUP(ROW(BF2),$BF$4:$BK$13,6,FALSE)</f>
        <v>2</v>
      </c>
      <c r="BM5" s="52" t="str">
        <f aca="true" t="shared" si="16" ref="BM5:BM11">VLOOKUP(ROW(BF2),$BF$4:$BK$11,2,FALSE)</f>
        <v>高塚新田ラークス</v>
      </c>
      <c r="BN5" s="52">
        <f aca="true" t="shared" si="17" ref="BN5:BN11">VLOOKUP(ROW(BF2),$BF$4:$BK$11,3,FALSE)</f>
        <v>9</v>
      </c>
      <c r="BO5" s="52">
        <f aca="true" t="shared" si="18" ref="BO5:BO11">VLOOKUP(ROW(BF2),$BF$4:$BK$11,4,FALSE)</f>
        <v>4</v>
      </c>
      <c r="BP5" s="52">
        <f aca="true" t="shared" si="19" ref="BP5:BP11">VLOOKUP(ROW(BF2),$BF$4:$BK$11,5,FALSE)</f>
        <v>6</v>
      </c>
      <c r="BQ5" s="62"/>
      <c r="BS5" s="49">
        <f>BV5+COUNTIF(BV$3:BV4,BV5)</f>
        <v>6</v>
      </c>
      <c r="BT5" s="51" t="str">
        <f aca="true" t="shared" si="20" ref="BT5:BT11">+BG5</f>
        <v>高塚新田ラークス</v>
      </c>
      <c r="BU5" s="49">
        <f aca="true" t="shared" si="21" ref="BU5:BU11">COUNT(B5:AS5)/2</f>
        <v>6</v>
      </c>
      <c r="BV5" s="49">
        <f aca="true" t="shared" si="22" ref="BV5:BV11">RANK(BU5,BU$4:BU$11)</f>
        <v>5</v>
      </c>
      <c r="BW5" s="50">
        <f aca="true" t="shared" si="23" ref="BW5:BW11">VLOOKUP(ROW(BS2),$BS$4:$BV$11,4,FALSE)</f>
        <v>1</v>
      </c>
      <c r="BX5" s="52" t="str">
        <f aca="true" t="shared" si="24" ref="BX5:BX11">VLOOKUP(ROW(BT2),$BS$4:$BV$11,2,FALSE)</f>
        <v>藤心ジャガース</v>
      </c>
    </row>
    <row r="6" spans="1:76" ht="19.5" customHeight="1">
      <c r="A6" s="107" t="s">
        <v>119</v>
      </c>
      <c r="B6" s="43"/>
      <c r="C6" s="44">
        <v>7</v>
      </c>
      <c r="D6" s="44"/>
      <c r="E6" s="45">
        <v>5</v>
      </c>
      <c r="F6" s="43"/>
      <c r="G6" s="44">
        <v>5</v>
      </c>
      <c r="H6" s="44"/>
      <c r="I6" s="45">
        <v>11</v>
      </c>
      <c r="J6" s="43"/>
      <c r="K6" s="44"/>
      <c r="L6" s="44"/>
      <c r="M6" s="45"/>
      <c r="N6" s="43"/>
      <c r="O6" s="44">
        <f>IF(M7="","",M7)</f>
        <v>12</v>
      </c>
      <c r="P6" s="44"/>
      <c r="Q6" s="45">
        <f>IF(K7="","",K7)</f>
        <v>7</v>
      </c>
      <c r="R6" s="43"/>
      <c r="S6" s="44">
        <f>IF(M8="","",M8)</f>
        <v>8</v>
      </c>
      <c r="T6" s="44"/>
      <c r="U6" s="45">
        <f>IF(K8="","",K8)</f>
        <v>8</v>
      </c>
      <c r="V6" s="43"/>
      <c r="W6" s="44">
        <f>IF(M9="","",M9)</f>
        <v>13</v>
      </c>
      <c r="X6" s="44"/>
      <c r="Y6" s="45">
        <f>IF(K9="","",K9)</f>
        <v>2</v>
      </c>
      <c r="Z6" s="43"/>
      <c r="AA6" s="44">
        <f>IF(M10="","",M10)</f>
        <v>5</v>
      </c>
      <c r="AB6" s="44"/>
      <c r="AC6" s="45">
        <f>IF(K10="","",K10)</f>
        <v>0</v>
      </c>
      <c r="AD6" s="43"/>
      <c r="AE6" s="44">
        <f>IF(M11="","",M11)</f>
        <v>0</v>
      </c>
      <c r="AF6" s="44"/>
      <c r="AG6" s="45">
        <f>IF(K11="","",K11)</f>
        <v>14</v>
      </c>
      <c r="AH6" s="43"/>
      <c r="AI6" s="44">
        <f>IF(M12="","",M12)</f>
      </c>
      <c r="AJ6" s="44"/>
      <c r="AK6" s="45">
        <f>IF(K12="","",K12)</f>
      </c>
      <c r="AL6" s="43"/>
      <c r="AM6" s="44">
        <f>IF(M13="","",M13)</f>
      </c>
      <c r="AN6" s="44"/>
      <c r="AO6" s="45">
        <f>IF(K13="","",K13)</f>
      </c>
      <c r="AP6" s="43"/>
      <c r="AQ6" s="44">
        <f>IF(M14="","",M14)</f>
      </c>
      <c r="AR6" s="44"/>
      <c r="AS6" s="45">
        <f>IF(K14="","",K14)</f>
      </c>
      <c r="AT6" s="47">
        <f t="shared" si="0"/>
        <v>4</v>
      </c>
      <c r="AU6" s="37">
        <f t="shared" si="1"/>
        <v>2</v>
      </c>
      <c r="AV6" s="37">
        <f t="shared" si="2"/>
        <v>1</v>
      </c>
      <c r="AW6" s="38">
        <f t="shared" si="3"/>
        <v>8</v>
      </c>
      <c r="AX6" s="39">
        <f t="shared" si="4"/>
        <v>0</v>
      </c>
      <c r="AY6" s="40">
        <f t="shared" si="5"/>
        <v>1</v>
      </c>
      <c r="AZ6" s="41">
        <f t="shared" si="6"/>
        <v>9</v>
      </c>
      <c r="BA6" s="37">
        <f t="shared" si="7"/>
        <v>50</v>
      </c>
      <c r="BB6" s="37">
        <f t="shared" si="8"/>
        <v>47</v>
      </c>
      <c r="BC6" s="37">
        <f t="shared" si="9"/>
        <v>3</v>
      </c>
      <c r="BF6" s="49">
        <f>BK6+COUNTIF(BK$3:BK5,BK6)</f>
        <v>3</v>
      </c>
      <c r="BG6" s="51" t="str">
        <f t="shared" si="10"/>
        <v>八柱サンジュニアーズ</v>
      </c>
      <c r="BH6" s="49">
        <f t="shared" si="11"/>
        <v>9</v>
      </c>
      <c r="BI6" s="49">
        <f t="shared" si="12"/>
        <v>4</v>
      </c>
      <c r="BJ6" s="49">
        <f t="shared" si="13"/>
        <v>7</v>
      </c>
      <c r="BK6" s="49">
        <f t="shared" si="14"/>
        <v>2</v>
      </c>
      <c r="BL6" s="50">
        <f t="shared" si="15"/>
        <v>2</v>
      </c>
      <c r="BM6" s="52" t="str">
        <f t="shared" si="16"/>
        <v>八柱サンジュニアーズ</v>
      </c>
      <c r="BN6" s="52">
        <f t="shared" si="17"/>
        <v>9</v>
      </c>
      <c r="BO6" s="52">
        <f t="shared" si="18"/>
        <v>4</v>
      </c>
      <c r="BP6" s="52">
        <f t="shared" si="19"/>
        <v>7</v>
      </c>
      <c r="BQ6" s="62"/>
      <c r="BS6" s="49">
        <f>BV6+COUNTIF(BV$3:BV5,BV6)</f>
        <v>1</v>
      </c>
      <c r="BT6" s="51" t="str">
        <f t="shared" si="20"/>
        <v>八柱サンジュニアーズ</v>
      </c>
      <c r="BU6" s="49">
        <f t="shared" si="21"/>
        <v>7</v>
      </c>
      <c r="BV6" s="49">
        <f t="shared" si="22"/>
        <v>1</v>
      </c>
      <c r="BW6" s="50">
        <f t="shared" si="23"/>
        <v>1</v>
      </c>
      <c r="BX6" s="52" t="str">
        <f t="shared" si="24"/>
        <v>木刈ファイターズ</v>
      </c>
    </row>
    <row r="7" spans="1:76" ht="19.5" customHeight="1">
      <c r="A7" s="107" t="s">
        <v>96</v>
      </c>
      <c r="B7" s="43"/>
      <c r="C7" s="44"/>
      <c r="D7" s="44"/>
      <c r="E7" s="45"/>
      <c r="F7" s="43"/>
      <c r="G7" s="44">
        <v>9</v>
      </c>
      <c r="H7" s="44"/>
      <c r="I7" s="45">
        <v>10</v>
      </c>
      <c r="J7" s="43"/>
      <c r="K7" s="44">
        <v>7</v>
      </c>
      <c r="L7" s="44"/>
      <c r="M7" s="45">
        <v>12</v>
      </c>
      <c r="N7" s="43"/>
      <c r="O7" s="44"/>
      <c r="P7" s="44"/>
      <c r="Q7" s="45"/>
      <c r="R7" s="43"/>
      <c r="S7" s="44">
        <f>IF(Q8="","",Q8)</f>
        <v>6</v>
      </c>
      <c r="T7" s="44"/>
      <c r="U7" s="45">
        <f>IF(O8="","",O8)</f>
        <v>8</v>
      </c>
      <c r="V7" s="43"/>
      <c r="W7" s="44">
        <f>IF(Q9="","",Q9)</f>
        <v>19</v>
      </c>
      <c r="X7" s="44"/>
      <c r="Y7" s="45">
        <f>IF(O9="","",O9)</f>
        <v>7</v>
      </c>
      <c r="Z7" s="43"/>
      <c r="AA7" s="44">
        <f>IF(Q10="","",Q10)</f>
      </c>
      <c r="AB7" s="44"/>
      <c r="AC7" s="45">
        <f>IF(O10="","",O10)</f>
      </c>
      <c r="AD7" s="43"/>
      <c r="AE7" s="44">
        <f>IF(Q11="","",Q11)</f>
        <v>2</v>
      </c>
      <c r="AF7" s="44"/>
      <c r="AG7" s="45">
        <f>IF(O11="","",O11)</f>
        <v>16</v>
      </c>
      <c r="AH7" s="43"/>
      <c r="AI7" s="44">
        <f>IF(Q12="","",Q12)</f>
      </c>
      <c r="AJ7" s="44"/>
      <c r="AK7" s="45">
        <f>IF(O12="","",O12)</f>
      </c>
      <c r="AL7" s="43"/>
      <c r="AM7" s="44">
        <f>IF(Q13="","",Q13)</f>
      </c>
      <c r="AN7" s="44"/>
      <c r="AO7" s="45">
        <f>IF(O13="","",O13)</f>
      </c>
      <c r="AP7" s="43"/>
      <c r="AQ7" s="44">
        <f>IF(Q14="","",Q14)</f>
      </c>
      <c r="AR7" s="44"/>
      <c r="AS7" s="45">
        <f>IF(O14="","",O14)</f>
      </c>
      <c r="AT7" s="47">
        <f t="shared" si="0"/>
        <v>1</v>
      </c>
      <c r="AU7" s="37">
        <f t="shared" si="1"/>
        <v>4</v>
      </c>
      <c r="AV7" s="37">
        <f t="shared" si="2"/>
        <v>0</v>
      </c>
      <c r="AW7" s="38">
        <f t="shared" si="3"/>
        <v>2</v>
      </c>
      <c r="AX7" s="39">
        <f t="shared" si="4"/>
        <v>0</v>
      </c>
      <c r="AY7" s="40">
        <f t="shared" si="5"/>
        <v>0</v>
      </c>
      <c r="AZ7" s="41">
        <f t="shared" si="6"/>
        <v>2</v>
      </c>
      <c r="BA7" s="37">
        <f t="shared" si="7"/>
        <v>43</v>
      </c>
      <c r="BB7" s="37">
        <f t="shared" si="8"/>
        <v>53</v>
      </c>
      <c r="BC7" s="37">
        <f t="shared" si="9"/>
        <v>-10</v>
      </c>
      <c r="BF7" s="49">
        <f>BK7+COUNTIF(BK$3:BK6,BK7)</f>
        <v>7</v>
      </c>
      <c r="BG7" s="51" t="str">
        <f t="shared" si="10"/>
        <v>五香メッツ</v>
      </c>
      <c r="BH7" s="49">
        <f t="shared" si="11"/>
        <v>2</v>
      </c>
      <c r="BI7" s="49">
        <f t="shared" si="12"/>
        <v>1</v>
      </c>
      <c r="BJ7" s="49">
        <f t="shared" si="13"/>
        <v>5</v>
      </c>
      <c r="BK7" s="49">
        <f t="shared" si="14"/>
        <v>7</v>
      </c>
      <c r="BL7" s="50">
        <f t="shared" si="15"/>
        <v>4</v>
      </c>
      <c r="BM7" s="52" t="str">
        <f t="shared" si="16"/>
        <v>藤心ジャガース</v>
      </c>
      <c r="BN7" s="52">
        <f t="shared" si="17"/>
        <v>7</v>
      </c>
      <c r="BO7" s="52">
        <f t="shared" si="18"/>
        <v>3</v>
      </c>
      <c r="BP7" s="52">
        <f t="shared" si="19"/>
        <v>7</v>
      </c>
      <c r="BQ7" s="62"/>
      <c r="BS7" s="49">
        <f>BV7+COUNTIF(BV$3:BV6,BV7)</f>
        <v>7</v>
      </c>
      <c r="BT7" s="51" t="str">
        <f t="shared" si="20"/>
        <v>五香メッツ</v>
      </c>
      <c r="BU7" s="49">
        <f t="shared" si="21"/>
        <v>5</v>
      </c>
      <c r="BV7" s="49">
        <f t="shared" si="22"/>
        <v>7</v>
      </c>
      <c r="BW7" s="50">
        <f t="shared" si="23"/>
        <v>1</v>
      </c>
      <c r="BX7" s="52" t="str">
        <f t="shared" si="24"/>
        <v>光インパルス</v>
      </c>
    </row>
    <row r="8" spans="1:76" ht="19.5" customHeight="1">
      <c r="A8" s="107" t="s">
        <v>113</v>
      </c>
      <c r="B8" s="43"/>
      <c r="C8" s="44">
        <v>12</v>
      </c>
      <c r="D8" s="44"/>
      <c r="E8" s="45">
        <v>11</v>
      </c>
      <c r="F8" s="43"/>
      <c r="G8" s="44">
        <v>5</v>
      </c>
      <c r="H8" s="44"/>
      <c r="I8" s="45">
        <v>8</v>
      </c>
      <c r="J8" s="43"/>
      <c r="K8" s="44">
        <v>8</v>
      </c>
      <c r="L8" s="44"/>
      <c r="M8" s="45">
        <v>8</v>
      </c>
      <c r="N8" s="43"/>
      <c r="O8" s="44">
        <v>8</v>
      </c>
      <c r="P8" s="44"/>
      <c r="Q8" s="45">
        <v>6</v>
      </c>
      <c r="R8" s="43"/>
      <c r="S8" s="44"/>
      <c r="T8" s="44"/>
      <c r="U8" s="45"/>
      <c r="V8" s="43"/>
      <c r="W8" s="44">
        <f>IF(U9="","",U9)</f>
        <v>16</v>
      </c>
      <c r="X8" s="44"/>
      <c r="Y8" s="45">
        <f>IF(S9="","",S9)</f>
        <v>2</v>
      </c>
      <c r="Z8" s="43"/>
      <c r="AA8" s="44">
        <f>IF(U10="","",U10)</f>
        <v>1</v>
      </c>
      <c r="AB8" s="44"/>
      <c r="AC8" s="45">
        <f>IF(S10="","",S10)</f>
        <v>17</v>
      </c>
      <c r="AD8" s="43"/>
      <c r="AE8" s="44">
        <f>IF(U11="","",U11)</f>
        <v>4</v>
      </c>
      <c r="AF8" s="44"/>
      <c r="AG8" s="45">
        <f>IF(S11="","",S11)</f>
        <v>8</v>
      </c>
      <c r="AH8" s="43"/>
      <c r="AI8" s="44">
        <f>IF(U12="","",U12)</f>
      </c>
      <c r="AJ8" s="44"/>
      <c r="AK8" s="45">
        <f>IF(S12="","",S12)</f>
      </c>
      <c r="AL8" s="43"/>
      <c r="AM8" s="44">
        <f>IF(U13="","",U13)</f>
      </c>
      <c r="AN8" s="44"/>
      <c r="AO8" s="45">
        <f>IF(S13="","",S13)</f>
      </c>
      <c r="AP8" s="43"/>
      <c r="AQ8" s="44">
        <f>IF(U14="","",U14)</f>
      </c>
      <c r="AR8" s="44"/>
      <c r="AS8" s="45">
        <f>IF(S14="","",S14)</f>
      </c>
      <c r="AT8" s="47">
        <f t="shared" si="0"/>
        <v>3</v>
      </c>
      <c r="AU8" s="37">
        <f t="shared" si="1"/>
        <v>3</v>
      </c>
      <c r="AV8" s="37">
        <f t="shared" si="2"/>
        <v>1</v>
      </c>
      <c r="AW8" s="38">
        <f t="shared" si="3"/>
        <v>6</v>
      </c>
      <c r="AX8" s="39">
        <f t="shared" si="4"/>
        <v>0</v>
      </c>
      <c r="AY8" s="40">
        <f t="shared" si="5"/>
        <v>1</v>
      </c>
      <c r="AZ8" s="41">
        <f t="shared" si="6"/>
        <v>7</v>
      </c>
      <c r="BA8" s="37">
        <f t="shared" si="7"/>
        <v>54</v>
      </c>
      <c r="BB8" s="37">
        <f t="shared" si="8"/>
        <v>60</v>
      </c>
      <c r="BC8" s="37">
        <f t="shared" si="9"/>
        <v>-6</v>
      </c>
      <c r="BF8" s="49">
        <f>BK8+COUNTIF(BK$3:BK7,BK8)</f>
        <v>4</v>
      </c>
      <c r="BG8" s="51" t="str">
        <f t="shared" si="10"/>
        <v>藤心ジャガース</v>
      </c>
      <c r="BH8" s="49">
        <f t="shared" si="11"/>
        <v>7</v>
      </c>
      <c r="BI8" s="49">
        <f t="shared" si="12"/>
        <v>3</v>
      </c>
      <c r="BJ8" s="49">
        <f t="shared" si="13"/>
        <v>7</v>
      </c>
      <c r="BK8" s="49">
        <f t="shared" si="14"/>
        <v>4</v>
      </c>
      <c r="BL8" s="50">
        <f t="shared" si="15"/>
        <v>5</v>
      </c>
      <c r="BM8" s="52" t="str">
        <f t="shared" si="16"/>
        <v>双葉</v>
      </c>
      <c r="BN8" s="52">
        <f t="shared" si="17"/>
        <v>6</v>
      </c>
      <c r="BO8" s="52">
        <f t="shared" si="18"/>
        <v>3</v>
      </c>
      <c r="BP8" s="52">
        <f t="shared" si="19"/>
        <v>6</v>
      </c>
      <c r="BQ8" s="62"/>
      <c r="BS8" s="49">
        <f>BV8+COUNTIF(BV$3:BV7,BV8)</f>
        <v>2</v>
      </c>
      <c r="BT8" s="51" t="str">
        <f t="shared" si="20"/>
        <v>藤心ジャガース</v>
      </c>
      <c r="BU8" s="49">
        <f t="shared" si="21"/>
        <v>7</v>
      </c>
      <c r="BV8" s="49">
        <f t="shared" si="22"/>
        <v>1</v>
      </c>
      <c r="BW8" s="50">
        <f t="shared" si="23"/>
        <v>5</v>
      </c>
      <c r="BX8" s="52" t="str">
        <f t="shared" si="24"/>
        <v>双葉</v>
      </c>
    </row>
    <row r="9" spans="1:76" ht="19.5" customHeight="1">
      <c r="A9" s="107" t="s">
        <v>83</v>
      </c>
      <c r="B9" s="43"/>
      <c r="C9" s="44">
        <v>6</v>
      </c>
      <c r="D9" s="44"/>
      <c r="E9" s="45">
        <v>12</v>
      </c>
      <c r="F9" s="43"/>
      <c r="G9" s="44">
        <v>4</v>
      </c>
      <c r="H9" s="44"/>
      <c r="I9" s="45">
        <v>20</v>
      </c>
      <c r="J9" s="43"/>
      <c r="K9" s="44">
        <v>2</v>
      </c>
      <c r="L9" s="44"/>
      <c r="M9" s="45">
        <v>13</v>
      </c>
      <c r="N9" s="43"/>
      <c r="O9" s="44">
        <v>7</v>
      </c>
      <c r="P9" s="44"/>
      <c r="Q9" s="45">
        <v>19</v>
      </c>
      <c r="R9" s="43"/>
      <c r="S9" s="44">
        <v>2</v>
      </c>
      <c r="T9" s="44"/>
      <c r="U9" s="45">
        <v>16</v>
      </c>
      <c r="V9" s="43"/>
      <c r="W9" s="44"/>
      <c r="X9" s="44"/>
      <c r="Y9" s="45"/>
      <c r="Z9" s="43"/>
      <c r="AA9" s="44">
        <f>IF(Y10="","",Y10)</f>
        <v>1</v>
      </c>
      <c r="AB9" s="44"/>
      <c r="AC9" s="45">
        <f>IF(W10="","",W10)</f>
        <v>1</v>
      </c>
      <c r="AD9" s="43"/>
      <c r="AE9" s="44">
        <f>IF(Y11="","",Y11)</f>
        <v>3</v>
      </c>
      <c r="AF9" s="44"/>
      <c r="AG9" s="45">
        <f>IF(W11="","",W11)</f>
        <v>15</v>
      </c>
      <c r="AH9" s="43"/>
      <c r="AI9" s="44">
        <f>IF(Y12="","",Y12)</f>
      </c>
      <c r="AJ9" s="44"/>
      <c r="AK9" s="45">
        <f>IF(W12="","",W12)</f>
      </c>
      <c r="AL9" s="43"/>
      <c r="AM9" s="44">
        <f>IF(Y13="","",Y13)</f>
      </c>
      <c r="AN9" s="44"/>
      <c r="AO9" s="45">
        <f>IF(W13="","",W13)</f>
      </c>
      <c r="AP9" s="43"/>
      <c r="AQ9" s="44">
        <f>IF(Y14="","",Y14)</f>
      </c>
      <c r="AR9" s="44"/>
      <c r="AS9" s="45">
        <f>IF(W14="","",W14)</f>
      </c>
      <c r="AT9" s="47">
        <f t="shared" si="0"/>
        <v>0</v>
      </c>
      <c r="AU9" s="37">
        <f t="shared" si="1"/>
        <v>6</v>
      </c>
      <c r="AV9" s="37">
        <f t="shared" si="2"/>
        <v>1</v>
      </c>
      <c r="AW9" s="38">
        <f t="shared" si="3"/>
        <v>0</v>
      </c>
      <c r="AX9" s="39">
        <f t="shared" si="4"/>
        <v>0</v>
      </c>
      <c r="AY9" s="40">
        <f t="shared" si="5"/>
        <v>1</v>
      </c>
      <c r="AZ9" s="41">
        <f t="shared" si="6"/>
        <v>1</v>
      </c>
      <c r="BA9" s="37">
        <f t="shared" si="7"/>
        <v>25</v>
      </c>
      <c r="BB9" s="37">
        <f t="shared" si="8"/>
        <v>96</v>
      </c>
      <c r="BC9" s="37">
        <f t="shared" si="9"/>
        <v>-71</v>
      </c>
      <c r="BF9" s="49">
        <f>BK9+COUNTIF(BK$3:BK8,BK9)</f>
        <v>8</v>
      </c>
      <c r="BG9" s="51" t="str">
        <f t="shared" si="10"/>
        <v>木刈ファイターズ</v>
      </c>
      <c r="BH9" s="49">
        <f t="shared" si="11"/>
        <v>1</v>
      </c>
      <c r="BI9" s="49">
        <f t="shared" si="12"/>
        <v>0</v>
      </c>
      <c r="BJ9" s="49">
        <f t="shared" si="13"/>
        <v>7</v>
      </c>
      <c r="BK9" s="49">
        <f t="shared" si="14"/>
        <v>8</v>
      </c>
      <c r="BL9" s="50">
        <f t="shared" si="15"/>
        <v>6</v>
      </c>
      <c r="BM9" s="52" t="str">
        <f t="shared" si="16"/>
        <v>光ヶ丘シャークス</v>
      </c>
      <c r="BN9" s="52">
        <f t="shared" si="17"/>
        <v>5</v>
      </c>
      <c r="BO9" s="52">
        <f t="shared" si="18"/>
        <v>2</v>
      </c>
      <c r="BP9" s="52">
        <f t="shared" si="19"/>
        <v>5</v>
      </c>
      <c r="BQ9" s="62"/>
      <c r="BS9" s="49">
        <f>BV9+COUNTIF(BV$3:BV8,BV9)</f>
        <v>3</v>
      </c>
      <c r="BT9" s="51" t="str">
        <f t="shared" si="20"/>
        <v>木刈ファイターズ</v>
      </c>
      <c r="BU9" s="49">
        <f t="shared" si="21"/>
        <v>7</v>
      </c>
      <c r="BV9" s="49">
        <f t="shared" si="22"/>
        <v>1</v>
      </c>
      <c r="BW9" s="50">
        <f t="shared" si="23"/>
        <v>5</v>
      </c>
      <c r="BX9" s="52" t="str">
        <f t="shared" si="24"/>
        <v>高塚新田ラークス</v>
      </c>
    </row>
    <row r="10" spans="1:76" ht="19.5" customHeight="1">
      <c r="A10" s="107" t="s">
        <v>85</v>
      </c>
      <c r="B10" s="43"/>
      <c r="C10" s="44">
        <v>19</v>
      </c>
      <c r="D10" s="44"/>
      <c r="E10" s="45">
        <v>5</v>
      </c>
      <c r="F10" s="43"/>
      <c r="G10" s="44"/>
      <c r="H10" s="44"/>
      <c r="I10" s="45"/>
      <c r="J10" s="43"/>
      <c r="K10" s="44">
        <v>0</v>
      </c>
      <c r="L10" s="44"/>
      <c r="M10" s="45">
        <v>5</v>
      </c>
      <c r="N10" s="43"/>
      <c r="O10" s="44"/>
      <c r="P10" s="44"/>
      <c r="Q10" s="45"/>
      <c r="R10" s="43"/>
      <c r="S10" s="44">
        <v>17</v>
      </c>
      <c r="T10" s="44"/>
      <c r="U10" s="45">
        <v>1</v>
      </c>
      <c r="V10" s="43"/>
      <c r="W10" s="44">
        <v>1</v>
      </c>
      <c r="X10" s="44"/>
      <c r="Y10" s="45">
        <v>1</v>
      </c>
      <c r="Z10" s="43"/>
      <c r="AA10" s="44"/>
      <c r="AB10" s="44"/>
      <c r="AC10" s="45"/>
      <c r="AD10" s="43"/>
      <c r="AE10" s="44">
        <f>IF(AC11="","",AC11)</f>
        <v>3</v>
      </c>
      <c r="AF10" s="44"/>
      <c r="AG10" s="45">
        <f>IF(AA11="","",AA11)</f>
        <v>7</v>
      </c>
      <c r="AH10" s="43"/>
      <c r="AI10" s="44">
        <f>IF(AC12="","",AC12)</f>
      </c>
      <c r="AJ10" s="44"/>
      <c r="AK10" s="45">
        <f>IF(AA12="","",AA12)</f>
      </c>
      <c r="AL10" s="43"/>
      <c r="AM10" s="44">
        <f>IF(AC13="","",AC13)</f>
      </c>
      <c r="AN10" s="44"/>
      <c r="AO10" s="45">
        <f>IF(AA13="","",AA13)</f>
      </c>
      <c r="AP10" s="43"/>
      <c r="AQ10" s="44">
        <f>IF(AC14="","",AC14)</f>
      </c>
      <c r="AR10" s="44"/>
      <c r="AS10" s="45">
        <f>IF(AA14="","",AA14)</f>
      </c>
      <c r="AT10" s="47">
        <f t="shared" si="0"/>
        <v>2</v>
      </c>
      <c r="AU10" s="37">
        <f t="shared" si="1"/>
        <v>2</v>
      </c>
      <c r="AV10" s="37">
        <f t="shared" si="2"/>
        <v>1</v>
      </c>
      <c r="AW10" s="38">
        <f t="shared" si="3"/>
        <v>4</v>
      </c>
      <c r="AX10" s="39">
        <f t="shared" si="4"/>
        <v>0</v>
      </c>
      <c r="AY10" s="40">
        <f t="shared" si="5"/>
        <v>1</v>
      </c>
      <c r="AZ10" s="41">
        <f t="shared" si="6"/>
        <v>5</v>
      </c>
      <c r="BA10" s="37">
        <f t="shared" si="7"/>
        <v>40</v>
      </c>
      <c r="BB10" s="37">
        <f t="shared" si="8"/>
        <v>19</v>
      </c>
      <c r="BC10" s="37">
        <f t="shared" si="9"/>
        <v>21</v>
      </c>
      <c r="BF10" s="49">
        <f>BK10+COUNTIF(BK$3:BK9,BK10)</f>
        <v>6</v>
      </c>
      <c r="BG10" s="51" t="str">
        <f t="shared" si="10"/>
        <v>光ヶ丘シャークス</v>
      </c>
      <c r="BH10" s="49">
        <f t="shared" si="11"/>
        <v>5</v>
      </c>
      <c r="BI10" s="49">
        <f t="shared" si="12"/>
        <v>2</v>
      </c>
      <c r="BJ10" s="49">
        <f t="shared" si="13"/>
        <v>5</v>
      </c>
      <c r="BK10" s="49">
        <f t="shared" si="14"/>
        <v>6</v>
      </c>
      <c r="BL10" s="50">
        <f t="shared" si="15"/>
        <v>7</v>
      </c>
      <c r="BM10" s="52" t="str">
        <f t="shared" si="16"/>
        <v>五香メッツ</v>
      </c>
      <c r="BN10" s="52">
        <f t="shared" si="17"/>
        <v>2</v>
      </c>
      <c r="BO10" s="52">
        <f t="shared" si="18"/>
        <v>1</v>
      </c>
      <c r="BP10" s="52">
        <f t="shared" si="19"/>
        <v>5</v>
      </c>
      <c r="BQ10" s="62"/>
      <c r="BS10" s="49">
        <f>BV10+COUNTIF(BV$3:BV9,BV10)</f>
        <v>8</v>
      </c>
      <c r="BT10" s="51" t="str">
        <f t="shared" si="20"/>
        <v>光ヶ丘シャークス</v>
      </c>
      <c r="BU10" s="49">
        <f t="shared" si="21"/>
        <v>5</v>
      </c>
      <c r="BV10" s="49">
        <f t="shared" si="22"/>
        <v>7</v>
      </c>
      <c r="BW10" s="50">
        <f t="shared" si="23"/>
        <v>7</v>
      </c>
      <c r="BX10" s="52" t="str">
        <f t="shared" si="24"/>
        <v>五香メッツ</v>
      </c>
    </row>
    <row r="11" spans="1:76" ht="19.5" customHeight="1">
      <c r="A11" s="107" t="s">
        <v>114</v>
      </c>
      <c r="B11" s="43"/>
      <c r="C11" s="44">
        <v>2</v>
      </c>
      <c r="D11" s="44"/>
      <c r="E11" s="45">
        <v>4</v>
      </c>
      <c r="F11" s="43"/>
      <c r="G11" s="44">
        <v>2</v>
      </c>
      <c r="H11" s="44"/>
      <c r="I11" s="45">
        <v>2</v>
      </c>
      <c r="J11" s="43"/>
      <c r="K11" s="44">
        <v>14</v>
      </c>
      <c r="L11" s="44"/>
      <c r="M11" s="45">
        <v>0</v>
      </c>
      <c r="N11" s="43"/>
      <c r="O11" s="44">
        <v>16</v>
      </c>
      <c r="P11" s="44"/>
      <c r="Q11" s="45">
        <v>2</v>
      </c>
      <c r="R11" s="43"/>
      <c r="S11" s="44">
        <v>8</v>
      </c>
      <c r="T11" s="44"/>
      <c r="U11" s="45">
        <v>4</v>
      </c>
      <c r="V11" s="43"/>
      <c r="W11" s="44">
        <v>15</v>
      </c>
      <c r="X11" s="44"/>
      <c r="Y11" s="45">
        <v>3</v>
      </c>
      <c r="Z11" s="43"/>
      <c r="AA11" s="44">
        <v>7</v>
      </c>
      <c r="AB11" s="44"/>
      <c r="AC11" s="45">
        <v>3</v>
      </c>
      <c r="AD11" s="43"/>
      <c r="AE11" s="44"/>
      <c r="AF11" s="44"/>
      <c r="AG11" s="45"/>
      <c r="AH11" s="43"/>
      <c r="AI11" s="44">
        <f>IF(AG12="","",AG12)</f>
      </c>
      <c r="AJ11" s="44"/>
      <c r="AK11" s="45">
        <f>IF(AE12="","",AE12)</f>
      </c>
      <c r="AL11" s="43"/>
      <c r="AM11" s="44">
        <f>IF(AG13="","",AG13)</f>
      </c>
      <c r="AN11" s="44"/>
      <c r="AO11" s="45">
        <f>IF(AE13="","",AE13)</f>
      </c>
      <c r="AP11" s="43"/>
      <c r="AQ11" s="44">
        <f>IF(AG14="","",AG14)</f>
      </c>
      <c r="AR11" s="44"/>
      <c r="AS11" s="45">
        <f>IF(AE14="","",AE14)</f>
      </c>
      <c r="AT11" s="47">
        <f t="shared" si="0"/>
        <v>5</v>
      </c>
      <c r="AU11" s="37">
        <f t="shared" si="1"/>
        <v>1</v>
      </c>
      <c r="AV11" s="37">
        <f t="shared" si="2"/>
        <v>1</v>
      </c>
      <c r="AW11" s="38">
        <f t="shared" si="3"/>
        <v>10</v>
      </c>
      <c r="AX11" s="39">
        <f t="shared" si="4"/>
        <v>0</v>
      </c>
      <c r="AY11" s="40">
        <f t="shared" si="5"/>
        <v>1</v>
      </c>
      <c r="AZ11" s="41">
        <f t="shared" si="6"/>
        <v>11</v>
      </c>
      <c r="BA11" s="37">
        <f t="shared" si="7"/>
        <v>64</v>
      </c>
      <c r="BB11" s="37">
        <f t="shared" si="8"/>
        <v>18</v>
      </c>
      <c r="BC11" s="37">
        <f t="shared" si="9"/>
        <v>46</v>
      </c>
      <c r="BF11" s="49">
        <f>BK11+COUNTIF(BK$3:BK10,BK11)</f>
        <v>1</v>
      </c>
      <c r="BG11" s="51" t="str">
        <f t="shared" si="10"/>
        <v>光インパルス</v>
      </c>
      <c r="BH11" s="49">
        <f t="shared" si="11"/>
        <v>11</v>
      </c>
      <c r="BI11" s="49">
        <f t="shared" si="12"/>
        <v>5</v>
      </c>
      <c r="BJ11" s="49">
        <f t="shared" si="13"/>
        <v>7</v>
      </c>
      <c r="BK11" s="49">
        <f t="shared" si="14"/>
        <v>1</v>
      </c>
      <c r="BL11" s="50">
        <f t="shared" si="15"/>
        <v>8</v>
      </c>
      <c r="BM11" s="52" t="str">
        <f t="shared" si="16"/>
        <v>木刈ファイターズ</v>
      </c>
      <c r="BN11" s="52">
        <f t="shared" si="17"/>
        <v>1</v>
      </c>
      <c r="BO11" s="52">
        <f t="shared" si="18"/>
        <v>0</v>
      </c>
      <c r="BP11" s="52">
        <f t="shared" si="19"/>
        <v>7</v>
      </c>
      <c r="BQ11" s="62"/>
      <c r="BS11" s="49">
        <f>BV11+COUNTIF(BV$3:BV10,BV11)</f>
        <v>4</v>
      </c>
      <c r="BT11" s="51" t="str">
        <f t="shared" si="20"/>
        <v>光インパルス</v>
      </c>
      <c r="BU11" s="49">
        <f t="shared" si="21"/>
        <v>7</v>
      </c>
      <c r="BV11" s="49">
        <f t="shared" si="22"/>
        <v>1</v>
      </c>
      <c r="BW11" s="50">
        <f t="shared" si="23"/>
        <v>7</v>
      </c>
      <c r="BX11" s="52" t="str">
        <f t="shared" si="24"/>
        <v>光ヶ丘シャークス</v>
      </c>
    </row>
    <row r="12" spans="1:76" ht="19.5" customHeight="1">
      <c r="A12" s="107"/>
      <c r="B12" s="43"/>
      <c r="C12" s="44"/>
      <c r="D12" s="44"/>
      <c r="E12" s="45"/>
      <c r="F12" s="43"/>
      <c r="G12" s="44"/>
      <c r="H12" s="44"/>
      <c r="I12" s="45"/>
      <c r="J12" s="43"/>
      <c r="K12" s="44"/>
      <c r="L12" s="44"/>
      <c r="M12" s="45"/>
      <c r="N12" s="43"/>
      <c r="O12" s="44"/>
      <c r="P12" s="44"/>
      <c r="Q12" s="45"/>
      <c r="R12" s="43"/>
      <c r="S12" s="44"/>
      <c r="T12" s="44"/>
      <c r="U12" s="45"/>
      <c r="V12" s="43"/>
      <c r="W12" s="44"/>
      <c r="X12" s="44"/>
      <c r="Y12" s="45"/>
      <c r="Z12" s="43"/>
      <c r="AA12" s="44"/>
      <c r="AB12" s="44"/>
      <c r="AC12" s="45"/>
      <c r="AD12" s="43"/>
      <c r="AE12" s="44"/>
      <c r="AF12" s="44"/>
      <c r="AG12" s="45"/>
      <c r="AH12" s="44"/>
      <c r="AI12" s="44"/>
      <c r="AJ12" s="44"/>
      <c r="AK12" s="44"/>
      <c r="AL12" s="43"/>
      <c r="AM12" s="44">
        <f>IF(AK13="","",AK13)</f>
      </c>
      <c r="AN12" s="44"/>
      <c r="AO12" s="45">
        <f>IF(AI13="","",AI13)</f>
      </c>
      <c r="AP12" s="43"/>
      <c r="AQ12" s="44">
        <f>IF(AK14="","",AK14)</f>
      </c>
      <c r="AR12" s="44"/>
      <c r="AS12" s="45">
        <f>IF(AI14="","",AI14)</f>
      </c>
      <c r="AT12" s="47"/>
      <c r="AU12" s="37"/>
      <c r="AV12" s="37"/>
      <c r="AW12" s="38"/>
      <c r="AX12" s="39"/>
      <c r="AY12" s="40"/>
      <c r="AZ12" s="41"/>
      <c r="BA12" s="37"/>
      <c r="BB12" s="37"/>
      <c r="BC12" s="37"/>
      <c r="BF12" s="49"/>
      <c r="BG12" s="51"/>
      <c r="BH12" s="49"/>
      <c r="BI12" s="49"/>
      <c r="BJ12" s="49"/>
      <c r="BK12" s="49"/>
      <c r="BL12" s="50"/>
      <c r="BM12" s="52"/>
      <c r="BN12" s="52"/>
      <c r="BO12" s="52"/>
      <c r="BP12" s="52"/>
      <c r="BQ12" s="62"/>
      <c r="BS12" s="49"/>
      <c r="BT12" s="51"/>
      <c r="BU12" s="49"/>
      <c r="BV12" s="49"/>
      <c r="BW12" s="50"/>
      <c r="BX12" s="52"/>
    </row>
    <row r="13" spans="1:76" ht="19.5" customHeight="1">
      <c r="A13" s="107"/>
      <c r="B13" s="43"/>
      <c r="C13" s="44"/>
      <c r="D13" s="44"/>
      <c r="E13" s="45"/>
      <c r="F13" s="43"/>
      <c r="G13" s="44"/>
      <c r="H13" s="44"/>
      <c r="I13" s="45"/>
      <c r="J13" s="43"/>
      <c r="K13" s="44"/>
      <c r="L13" s="44"/>
      <c r="M13" s="45"/>
      <c r="N13" s="43"/>
      <c r="O13" s="44"/>
      <c r="P13" s="44"/>
      <c r="Q13" s="45"/>
      <c r="R13" s="43"/>
      <c r="S13" s="44"/>
      <c r="T13" s="44"/>
      <c r="U13" s="45"/>
      <c r="V13" s="43"/>
      <c r="W13" s="44"/>
      <c r="X13" s="44"/>
      <c r="Y13" s="45"/>
      <c r="Z13" s="43"/>
      <c r="AA13" s="44"/>
      <c r="AB13" s="44"/>
      <c r="AC13" s="45"/>
      <c r="AD13" s="43"/>
      <c r="AE13" s="44"/>
      <c r="AF13" s="44"/>
      <c r="AG13" s="45"/>
      <c r="AH13" s="44"/>
      <c r="AI13" s="44"/>
      <c r="AJ13" s="44"/>
      <c r="AK13" s="44"/>
      <c r="AL13" s="43"/>
      <c r="AM13" s="44"/>
      <c r="AN13" s="44"/>
      <c r="AO13" s="45"/>
      <c r="AP13" s="43"/>
      <c r="AQ13" s="44">
        <f>IF(AO14="","",AO14)</f>
      </c>
      <c r="AR13" s="44"/>
      <c r="AS13" s="45">
        <f>IF(AM14="","",AM14)</f>
      </c>
      <c r="AT13" s="47"/>
      <c r="AU13" s="37"/>
      <c r="AV13" s="37"/>
      <c r="AW13" s="38"/>
      <c r="AX13" s="39"/>
      <c r="AY13" s="40"/>
      <c r="AZ13" s="41"/>
      <c r="BA13" s="37"/>
      <c r="BB13" s="37"/>
      <c r="BC13" s="37"/>
      <c r="BF13" s="49"/>
      <c r="BG13" s="51"/>
      <c r="BH13" s="49"/>
      <c r="BI13" s="49"/>
      <c r="BJ13" s="49"/>
      <c r="BK13" s="49"/>
      <c r="BL13" s="50"/>
      <c r="BM13" s="52"/>
      <c r="BN13" s="52"/>
      <c r="BO13" s="52"/>
      <c r="BP13" s="52"/>
      <c r="BQ13" s="62"/>
      <c r="BS13" s="49"/>
      <c r="BT13" s="51"/>
      <c r="BU13" s="49"/>
      <c r="BV13" s="49"/>
      <c r="BW13" s="50"/>
      <c r="BX13" s="52"/>
    </row>
    <row r="14" spans="1:76" ht="19.5" customHeight="1">
      <c r="A14" s="107"/>
      <c r="B14" s="43"/>
      <c r="C14" s="44"/>
      <c r="D14" s="44"/>
      <c r="E14" s="45"/>
      <c r="F14" s="43"/>
      <c r="G14" s="44"/>
      <c r="H14" s="44"/>
      <c r="I14" s="45"/>
      <c r="J14" s="43"/>
      <c r="K14" s="44"/>
      <c r="L14" s="44"/>
      <c r="M14" s="45"/>
      <c r="N14" s="43"/>
      <c r="O14" s="44"/>
      <c r="P14" s="44"/>
      <c r="Q14" s="45"/>
      <c r="R14" s="43"/>
      <c r="S14" s="44"/>
      <c r="T14" s="44"/>
      <c r="U14" s="45"/>
      <c r="V14" s="43"/>
      <c r="W14" s="44"/>
      <c r="X14" s="44"/>
      <c r="Y14" s="45"/>
      <c r="Z14" s="43"/>
      <c r="AA14" s="44"/>
      <c r="AB14" s="44"/>
      <c r="AC14" s="45"/>
      <c r="AD14" s="43"/>
      <c r="AE14" s="44"/>
      <c r="AF14" s="44"/>
      <c r="AG14" s="45"/>
      <c r="AH14" s="44"/>
      <c r="AI14" s="44"/>
      <c r="AJ14" s="44"/>
      <c r="AK14" s="44"/>
      <c r="AL14" s="43"/>
      <c r="AM14" s="44"/>
      <c r="AN14" s="44"/>
      <c r="AO14" s="45"/>
      <c r="AP14" s="43"/>
      <c r="AQ14" s="44"/>
      <c r="AR14" s="44"/>
      <c r="AS14" s="45"/>
      <c r="AT14" s="47"/>
      <c r="AU14" s="37"/>
      <c r="AV14" s="37"/>
      <c r="AW14" s="38"/>
      <c r="AX14" s="39"/>
      <c r="AY14" s="40"/>
      <c r="AZ14" s="41"/>
      <c r="BA14" s="37"/>
      <c r="BB14" s="37"/>
      <c r="BC14" s="37"/>
      <c r="BF14" s="49"/>
      <c r="BG14" s="51"/>
      <c r="BH14" s="49"/>
      <c r="BI14" s="49"/>
      <c r="BJ14" s="49"/>
      <c r="BK14" s="49"/>
      <c r="BL14" s="50"/>
      <c r="BM14" s="52"/>
      <c r="BN14" s="52"/>
      <c r="BO14" s="52"/>
      <c r="BP14" s="52"/>
      <c r="BQ14" s="62"/>
      <c r="BS14" s="49"/>
      <c r="BT14" s="51"/>
      <c r="BU14" s="49"/>
      <c r="BV14" s="49"/>
      <c r="BW14" s="50"/>
      <c r="BX14" s="52"/>
    </row>
    <row r="15" spans="1:74" ht="19.5" customHeight="1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4"/>
      <c r="AH15" s="4"/>
      <c r="AI15" s="4"/>
      <c r="AJ15" s="4"/>
      <c r="AK15" s="4"/>
      <c r="AL15" s="4"/>
      <c r="AM15" s="8"/>
      <c r="AN15" s="2"/>
      <c r="AO15" s="1"/>
      <c r="AP15" s="1"/>
      <c r="AQ15" s="1"/>
      <c r="AR15" s="1"/>
      <c r="AS15" s="1"/>
      <c r="AT15" s="7">
        <f>SUM(AT4:AT14)</f>
        <v>22</v>
      </c>
      <c r="AU15" s="7">
        <f>SUM(AU4:AU14)</f>
        <v>22</v>
      </c>
      <c r="AV15" s="7">
        <f>SUM(AV4:AV14)</f>
        <v>6</v>
      </c>
      <c r="AW15" s="7"/>
      <c r="AX15" s="7"/>
      <c r="AY15" s="1"/>
      <c r="AZ15" s="1"/>
      <c r="BA15" s="1">
        <f>SUM(BA4:BA14)</f>
        <v>373</v>
      </c>
      <c r="BB15" s="1">
        <f>SUM(BB4:BB14)</f>
        <v>373</v>
      </c>
      <c r="BC15" s="1">
        <f>SUM(BC4:BC14)</f>
        <v>0</v>
      </c>
      <c r="BU15" s="60">
        <f>SUM(BU4:BU14)/2</f>
        <v>25</v>
      </c>
      <c r="BV15" s="3">
        <f>8*7/2</f>
        <v>28</v>
      </c>
    </row>
    <row r="16" spans="1:55" ht="19.5" customHeight="1">
      <c r="A16" s="105" t="s">
        <v>74</v>
      </c>
      <c r="B16" s="90" t="s">
        <v>71</v>
      </c>
      <c r="C16" s="58"/>
      <c r="D16" s="58"/>
      <c r="E16" s="58"/>
      <c r="F16" s="58"/>
      <c r="G16" s="158" t="str">
        <f>"１日"&amp;ROUND((BV29-BU29)/'戦績'!N42,1)&amp;"試合"</f>
        <v>１日0.7試合</v>
      </c>
      <c r="H16" s="158"/>
      <c r="I16" s="158"/>
      <c r="J16" s="158"/>
      <c r="K16" s="153" t="s">
        <v>24</v>
      </c>
      <c r="L16" s="153"/>
      <c r="M16" s="153"/>
      <c r="N16" s="153"/>
      <c r="O16" s="154" t="str">
        <f>IF(C71&gt;C70,+BM18,"")</f>
        <v>小金原ビクトリー</v>
      </c>
      <c r="P16" s="154"/>
      <c r="Q16" s="154"/>
      <c r="R16" s="154"/>
      <c r="S16" s="154"/>
      <c r="T16" s="59"/>
      <c r="U16" s="153" t="s">
        <v>25</v>
      </c>
      <c r="V16" s="153"/>
      <c r="W16" s="153"/>
      <c r="X16" s="153"/>
      <c r="Y16" s="154" t="str">
        <f>IF(C71&gt;C70,+BM19,"")</f>
        <v>サンスパッツ</v>
      </c>
      <c r="Z16" s="154"/>
      <c r="AA16" s="154"/>
      <c r="AB16" s="154"/>
      <c r="AC16" s="154"/>
      <c r="AD16" s="154"/>
      <c r="AE16" s="1"/>
      <c r="AF16" s="1"/>
      <c r="AG16" s="1"/>
      <c r="AH16" s="1"/>
      <c r="AI16" s="1"/>
      <c r="AJ16" s="1"/>
      <c r="AK16" s="1"/>
      <c r="AL16" s="1"/>
      <c r="AM16" s="1"/>
      <c r="AN16" s="61" t="s">
        <v>30</v>
      </c>
      <c r="AO16" s="1"/>
      <c r="AP16" s="1"/>
      <c r="AQ16" s="1"/>
      <c r="AR16" s="177">
        <f>+BU29/(MAX(BF18:BF27)*(MAX(BF18:BF27)-1)/2)</f>
        <v>0.9047619047619048</v>
      </c>
      <c r="AS16" s="177"/>
      <c r="AT16" s="67">
        <f>IF(AT15=AU15,"","計算間違い")</f>
      </c>
      <c r="AU16" s="1"/>
      <c r="AV16" s="1"/>
      <c r="AW16" s="1" t="s">
        <v>17</v>
      </c>
      <c r="AX16" s="1" t="s">
        <v>18</v>
      </c>
      <c r="AY16" s="1" t="s">
        <v>19</v>
      </c>
      <c r="AZ16" s="1"/>
      <c r="BA16" s="1"/>
      <c r="BB16" s="1"/>
      <c r="BC16" s="1"/>
    </row>
    <row r="17" spans="1:73" ht="19.5" customHeight="1">
      <c r="A17" s="5"/>
      <c r="B17" s="152" t="str">
        <f>+A18</f>
        <v>小金原ビクトリー</v>
      </c>
      <c r="C17" s="152"/>
      <c r="D17" s="152"/>
      <c r="E17" s="152"/>
      <c r="F17" s="152" t="str">
        <f>+A19</f>
        <v>ＬＢＣ</v>
      </c>
      <c r="G17" s="152"/>
      <c r="H17" s="152"/>
      <c r="I17" s="152"/>
      <c r="J17" s="152" t="str">
        <f>+A20</f>
        <v>セントラルパークス</v>
      </c>
      <c r="K17" s="152"/>
      <c r="L17" s="152"/>
      <c r="M17" s="152"/>
      <c r="N17" s="152" t="str">
        <f>+A21</f>
        <v>松戸カージナルス</v>
      </c>
      <c r="O17" s="152"/>
      <c r="P17" s="152"/>
      <c r="Q17" s="152"/>
      <c r="R17" s="152" t="str">
        <f>+A22</f>
        <v>流山ホークス</v>
      </c>
      <c r="S17" s="152"/>
      <c r="T17" s="152"/>
      <c r="U17" s="152"/>
      <c r="V17" s="152" t="str">
        <f>+A23</f>
        <v>増尾レッドスターズ</v>
      </c>
      <c r="W17" s="152"/>
      <c r="X17" s="152"/>
      <c r="Y17" s="152"/>
      <c r="Z17" s="152" t="str">
        <f>+A24</f>
        <v>サンスパッツ</v>
      </c>
      <c r="AA17" s="152"/>
      <c r="AB17" s="152"/>
      <c r="AC17" s="152"/>
      <c r="AD17" s="152">
        <f>+A25</f>
        <v>0</v>
      </c>
      <c r="AE17" s="152"/>
      <c r="AF17" s="152"/>
      <c r="AG17" s="152"/>
      <c r="AH17" s="152">
        <f>+A26</f>
        <v>0</v>
      </c>
      <c r="AI17" s="152"/>
      <c r="AJ17" s="152"/>
      <c r="AK17" s="152"/>
      <c r="AL17" s="152">
        <f>A27</f>
        <v>0</v>
      </c>
      <c r="AM17" s="152"/>
      <c r="AN17" s="152"/>
      <c r="AO17" s="152"/>
      <c r="AP17" s="152"/>
      <c r="AQ17" s="152"/>
      <c r="AR17" s="152"/>
      <c r="AS17" s="152"/>
      <c r="AT17" s="32" t="s">
        <v>7</v>
      </c>
      <c r="AU17" s="32" t="s">
        <v>8</v>
      </c>
      <c r="AV17" s="32" t="s">
        <v>9</v>
      </c>
      <c r="AW17" s="33" t="s">
        <v>14</v>
      </c>
      <c r="AX17" s="34" t="s">
        <v>15</v>
      </c>
      <c r="AY17" s="35" t="s">
        <v>16</v>
      </c>
      <c r="AZ17" s="36" t="s">
        <v>10</v>
      </c>
      <c r="BA17" s="32" t="s">
        <v>11</v>
      </c>
      <c r="BB17" s="32" t="s">
        <v>12</v>
      </c>
      <c r="BC17" s="32" t="s">
        <v>13</v>
      </c>
      <c r="BF17" s="48"/>
      <c r="BG17" s="48" t="s">
        <v>21</v>
      </c>
      <c r="BH17" s="48" t="s">
        <v>22</v>
      </c>
      <c r="BI17" s="48"/>
      <c r="BJ17" s="48"/>
      <c r="BK17" s="48"/>
      <c r="BL17" s="48"/>
      <c r="BT17" s="3" t="s">
        <v>21</v>
      </c>
      <c r="BU17" s="3" t="s">
        <v>23</v>
      </c>
    </row>
    <row r="18" spans="1:76" ht="19.5" customHeight="1">
      <c r="A18" s="107" t="s">
        <v>75</v>
      </c>
      <c r="B18" s="43"/>
      <c r="C18" s="44"/>
      <c r="D18" s="44"/>
      <c r="E18" s="45"/>
      <c r="F18" s="43"/>
      <c r="G18" s="44">
        <f>IF(E19="","",E19)</f>
        <v>11</v>
      </c>
      <c r="H18" s="44"/>
      <c r="I18" s="45">
        <f>IF(C19="","",C19)</f>
        <v>2</v>
      </c>
      <c r="J18" s="43"/>
      <c r="K18" s="44">
        <f>IF(E20="","",E20)</f>
        <v>8</v>
      </c>
      <c r="L18" s="44"/>
      <c r="M18" s="45">
        <f>IF(C20="","",C20)</f>
        <v>5</v>
      </c>
      <c r="N18" s="43"/>
      <c r="O18" s="44">
        <f>IF(E21="","",E21)</f>
        <v>12</v>
      </c>
      <c r="P18" s="44"/>
      <c r="Q18" s="45">
        <f>IF(C21="","",C21)</f>
        <v>2</v>
      </c>
      <c r="R18" s="43"/>
      <c r="S18" s="44">
        <f>IF(E22="","",E22)</f>
        <v>16</v>
      </c>
      <c r="T18" s="44"/>
      <c r="U18" s="45">
        <f>IF(C22="","",C22)</f>
        <v>2</v>
      </c>
      <c r="V18" s="43"/>
      <c r="W18" s="44">
        <f>IF(E23="","",E23)</f>
        <v>14</v>
      </c>
      <c r="X18" s="44"/>
      <c r="Y18" s="45">
        <f>IF(C23="","",C23)</f>
        <v>5</v>
      </c>
      <c r="Z18" s="43"/>
      <c r="AA18" s="44">
        <f>IF(E24="","",E24)</f>
        <v>8</v>
      </c>
      <c r="AB18" s="44"/>
      <c r="AC18" s="45">
        <f>IF(C24="","",C24)</f>
        <v>1</v>
      </c>
      <c r="AD18" s="43"/>
      <c r="AE18" s="44">
        <f>IF(E25="","",E25)</f>
      </c>
      <c r="AF18" s="44"/>
      <c r="AG18" s="45">
        <f>IF(C25="","",C25)</f>
      </c>
      <c r="AH18" s="43"/>
      <c r="AI18" s="44">
        <f>IF(E26="","",E26)</f>
      </c>
      <c r="AJ18" s="44"/>
      <c r="AK18" s="45">
        <f>IF(C26="","",C26)</f>
      </c>
      <c r="AL18" s="43"/>
      <c r="AM18" s="44">
        <f>IF(E27="","",E27)</f>
      </c>
      <c r="AN18" s="44"/>
      <c r="AO18" s="45">
        <f>IF(C27="","",C27)</f>
      </c>
      <c r="AP18" s="43"/>
      <c r="AQ18" s="44">
        <f>IF(E28="","",E28)</f>
      </c>
      <c r="AR18" s="44"/>
      <c r="AS18" s="45">
        <f>IF(C28="","",C28)</f>
      </c>
      <c r="AT18" s="47">
        <f>IF(C18&gt;E18,1,0)+IF(G18&gt;I18,1,0)+IF(K18&gt;M18,1,0)+IF(O18&gt;Q18,1,0)+IF(S18&gt;U18,1,0)+IF(W18&gt;Y18,1,0)+IF(AA18&gt;AC18,1,0)+IF(AE18&gt;AG18,1,0)+IF(AM18&gt;AO18,1,0)+IF(AQ18&gt;AS18,1,0)+IF(AI18&gt;AK18,1,0)</f>
        <v>6</v>
      </c>
      <c r="AU18" s="37">
        <f>IF(C18&lt;E18,1,0)+IF(G18&lt;I18,1,0)+IF(K18&lt;M18,1,0)+IF(O18&lt;Q18,1,0)+IF(S18&lt;U18,1,0)+IF(W18&lt;Y18,1,0)+IF(AA18&lt;AC18,1,0)+IF(AE18&lt;AG18,1,0)+IF(AM18&lt;AO18,1,0)+IF(AQ18&lt;AS18,1,0)+IF(AI18&lt;AK18,1,0)</f>
        <v>0</v>
      </c>
      <c r="AV18" s="37">
        <f>IF(AND(ISNUMBER(C18),C18=E18),1,0)+IF(AND(ISNUMBER(G18),G18=I18),1,0)+IF(AND(ISNUMBER(K18),K18=M18),1,)+IF(AND(ISNUMBER(O18),O18=Q18),1,0)+IF(AND(ISNUMBER(S18),S18=U18),1,0)+IF(AND(ISNUMBER(W18),W18=Y18),1,0)+IF(AND(ISNUMBER(AA18),AA18=AC18),1,0)+IF(AND(ISNUMBER(AE18),AE18=AG18),1,0)+IF(AND(ISNUMBER(AM18),AM18=AO18),1,0)+IF(AND(ISNUMBER(AQ18),AQ18=AS18),1,0)+IF(AND(ISNUMBER(AI18),AI18=AK18),1,0)</f>
        <v>0</v>
      </c>
      <c r="AW18" s="38">
        <f>AT18*2</f>
        <v>12</v>
      </c>
      <c r="AX18" s="39">
        <f>AU18*0</f>
        <v>0</v>
      </c>
      <c r="AY18" s="40">
        <f>AV18*1</f>
        <v>0</v>
      </c>
      <c r="AZ18" s="41">
        <f>AW18+AX18+AY18</f>
        <v>12</v>
      </c>
      <c r="BA18" s="37">
        <f>IF(ISNUMBER(G18),G18,0)+IF(ISNUMBER(K18),K18,0)+IF(ISNUMBER(O18),O18,0)+IF(ISNUMBER(AA18),AA18,0)+IF(ISNUMBER(AE18),AE18,0)+IF(ISNUMBER(AM18),AM18,0)+IF(ISNUMBER(S18),S18,0)+IF(ISNUMBER(W18),W18,0)+IF(ISNUMBER(C18),C18,0)+IF(ISNUMBER(AQ18),AQ18,0)+IF(ISNUMBER(AI18),AI18,0)</f>
        <v>69</v>
      </c>
      <c r="BB18" s="37">
        <f>IF(ISNUMBER(I18),I18,0)+IF(ISNUMBER(M18),M18,0)+IF(ISNUMBER(Q18),Q18,0)+IF(ISNUMBER(AC18),AC18,0)+IF(ISNUMBER(AG18),AG18,0)+IF(ISNUMBER(AO18),AO18,0)+IF(ISNUMBER(U18),U18,0)+IF(ISNUMBER(Y18),Y18,0)+IF(ISNUMBER(E18),E18,0)+IF(ISNUMBER(AS18),AS18,0)+IF(ISNUMBER(AK18),AK18,0)</f>
        <v>17</v>
      </c>
      <c r="BC18" s="37">
        <f aca="true" t="shared" si="25" ref="BC18:BC24">BA18-BB18</f>
        <v>52</v>
      </c>
      <c r="BF18" s="49">
        <f>BK18+COUNTIF(BK$17:BK17,BK18)</f>
        <v>1</v>
      </c>
      <c r="BG18" s="51" t="str">
        <f>+A18</f>
        <v>小金原ビクトリー</v>
      </c>
      <c r="BH18" s="49">
        <f>+AZ18</f>
        <v>12</v>
      </c>
      <c r="BI18" s="49">
        <f>+AT18</f>
        <v>6</v>
      </c>
      <c r="BJ18" s="49">
        <f>+AT18+AU18+AV18</f>
        <v>6</v>
      </c>
      <c r="BK18" s="49">
        <f>RANK(BH18,BH$18:BH$24)</f>
        <v>1</v>
      </c>
      <c r="BL18" s="50">
        <f>VLOOKUP(ROW(BF1),$BF$18:$BK$24,6,FALSE)</f>
        <v>1</v>
      </c>
      <c r="BM18" s="52" t="str">
        <f>VLOOKUP(ROW(BF1),$BF$18:$BK$24,2,FALSE)</f>
        <v>小金原ビクトリー</v>
      </c>
      <c r="BN18" s="52">
        <f>VLOOKUP(ROW(BF1),$BF$18:$BK$24,3,FALSE)</f>
        <v>12</v>
      </c>
      <c r="BO18" s="52">
        <f>VLOOKUP(ROW(BF1),$BF$18:$BK$24,4,FALSE)</f>
        <v>6</v>
      </c>
      <c r="BP18" s="52">
        <f>VLOOKUP(ROW(BF1),$BF$18:$BK$24,5,FALSE)</f>
        <v>6</v>
      </c>
      <c r="BQ18" s="62"/>
      <c r="BS18" s="49">
        <f>BV18+COUNTIF(BV$17:BV17,BV18)</f>
        <v>1</v>
      </c>
      <c r="BT18" s="51" t="str">
        <f>+BG18</f>
        <v>小金原ビクトリー</v>
      </c>
      <c r="BU18" s="49">
        <f>COUNT(B18:AS18)/2</f>
        <v>6</v>
      </c>
      <c r="BV18" s="49">
        <f>RANK(BU18,BU$18:BU$24)</f>
        <v>1</v>
      </c>
      <c r="BW18" s="50">
        <f>VLOOKUP(ROW(BS1),$BS$18:$BV$24,4,FALSE)</f>
        <v>1</v>
      </c>
      <c r="BX18" s="52" t="str">
        <f>VLOOKUP(ROW(BT1),$BS$18:$BV$24,2,FALSE)</f>
        <v>小金原ビクトリー</v>
      </c>
    </row>
    <row r="19" spans="1:76" ht="19.5" customHeight="1">
      <c r="A19" s="107" t="s">
        <v>133</v>
      </c>
      <c r="B19" s="43"/>
      <c r="C19" s="44">
        <v>2</v>
      </c>
      <c r="D19" s="44"/>
      <c r="E19" s="45">
        <v>11</v>
      </c>
      <c r="F19" s="43"/>
      <c r="G19" s="44"/>
      <c r="H19" s="44"/>
      <c r="I19" s="45"/>
      <c r="J19" s="43"/>
      <c r="K19" s="44">
        <f>IF(I20="","",I20)</f>
      </c>
      <c r="L19" s="44"/>
      <c r="M19" s="45">
        <f>IF(G20="","",G20)</f>
      </c>
      <c r="N19" s="43"/>
      <c r="O19" s="44">
        <f>IF(I21="","",I21)</f>
        <v>7</v>
      </c>
      <c r="P19" s="44"/>
      <c r="Q19" s="45">
        <f>IF(G21="","",G21)</f>
        <v>9</v>
      </c>
      <c r="R19" s="43"/>
      <c r="S19" s="44">
        <f>IF(I22="","",I22)</f>
        <v>19</v>
      </c>
      <c r="T19" s="44"/>
      <c r="U19" s="45">
        <f>IF(G22="","",G22)</f>
        <v>1</v>
      </c>
      <c r="V19" s="43"/>
      <c r="W19" s="44">
        <f>IF(I23="","",I23)</f>
        <v>12</v>
      </c>
      <c r="X19" s="44"/>
      <c r="Y19" s="45">
        <f>IF(G23="","",G23)</f>
        <v>6</v>
      </c>
      <c r="Z19" s="43"/>
      <c r="AA19" s="44">
        <f>IF(I24="","",I24)</f>
        <v>10</v>
      </c>
      <c r="AB19" s="44"/>
      <c r="AC19" s="45">
        <f>IF(G24="","",G24)</f>
        <v>5</v>
      </c>
      <c r="AD19" s="43"/>
      <c r="AE19" s="44">
        <f>IF(I25="","",I25)</f>
      </c>
      <c r="AF19" s="44"/>
      <c r="AG19" s="45">
        <f>IF(G25="","",G25)</f>
      </c>
      <c r="AH19" s="43"/>
      <c r="AI19" s="44">
        <f>IF(I26="","",I26)</f>
      </c>
      <c r="AJ19" s="44"/>
      <c r="AK19" s="45">
        <f>IF(G26="","",G26)</f>
      </c>
      <c r="AL19" s="43"/>
      <c r="AM19" s="44">
        <f>IF(I27="","",I27)</f>
      </c>
      <c r="AN19" s="44"/>
      <c r="AO19" s="45">
        <f>IF(G27="","",G27)</f>
      </c>
      <c r="AP19" s="43"/>
      <c r="AQ19" s="44">
        <f>IF(I28="","",I28)</f>
      </c>
      <c r="AR19" s="44"/>
      <c r="AS19" s="45">
        <f>IF(G28="","",G28)</f>
      </c>
      <c r="AT19" s="47">
        <f aca="true" t="shared" si="26" ref="AT19:AT24">IF(C19&gt;E19,1,0)+IF(G19&gt;I19,1,0)+IF(K19&gt;M19,1,0)+IF(O19&gt;Q19,1,0)+IF(S19&gt;U19,1,0)+IF(W19&gt;Y19,1,0)+IF(AA19&gt;AC19,1,0)+IF(AE19&gt;AG19,1,0)+IF(AM19&gt;AO19,1,0)+IF(AQ19&gt;AS19,1,0)+IF(AI19&gt;AK19,1,0)</f>
        <v>3</v>
      </c>
      <c r="AU19" s="37">
        <f aca="true" t="shared" si="27" ref="AU19:AU24">IF(C19&lt;E19,1,0)+IF(G19&lt;I19,1,0)+IF(K19&lt;M19,1,0)+IF(O19&lt;Q19,1,0)+IF(S19&lt;U19,1,0)+IF(W19&lt;Y19,1,0)+IF(AA19&lt;AC19,1,0)+IF(AE19&lt;AG19,1,0)+IF(AM19&lt;AO19,1,0)+IF(AQ19&lt;AS19,1,0)+IF(AI19&lt;AK19,1,0)</f>
        <v>2</v>
      </c>
      <c r="AV19" s="37">
        <f aca="true" t="shared" si="28" ref="AV19:AV24">IF(AND(ISNUMBER(C19),C19=E19),1,0)+IF(AND(ISNUMBER(G19),G19=I19),1,0)+IF(AND(ISNUMBER(K19),K19=M19),1,)+IF(AND(ISNUMBER(O19),O19=Q19),1,0)+IF(AND(ISNUMBER(S19),S19=U19),1,0)+IF(AND(ISNUMBER(W19),W19=Y19),1,0)+IF(AND(ISNUMBER(AA19),AA19=AC19),1,0)+IF(AND(ISNUMBER(AE19),AE19=AG19),1,0)+IF(AND(ISNUMBER(AM19),AM19=AO19),1,0)+IF(AND(ISNUMBER(AQ19),AQ19=AS19),1,0)+IF(AND(ISNUMBER(AI19),AI19=AK19),1,0)</f>
        <v>0</v>
      </c>
      <c r="AW19" s="38">
        <f aca="true" t="shared" si="29" ref="AW19:AW24">AT19*2</f>
        <v>6</v>
      </c>
      <c r="AX19" s="39">
        <f aca="true" t="shared" si="30" ref="AX19:AX24">AU19*0</f>
        <v>0</v>
      </c>
      <c r="AY19" s="40">
        <f aca="true" t="shared" si="31" ref="AY19:AY24">AV19*1</f>
        <v>0</v>
      </c>
      <c r="AZ19" s="41">
        <f aca="true" t="shared" si="32" ref="AZ19:AZ24">AW19+AX19+AY19</f>
        <v>6</v>
      </c>
      <c r="BA19" s="37">
        <f aca="true" t="shared" si="33" ref="BA19:BA24">IF(ISNUMBER(G19),G19,0)+IF(ISNUMBER(K19),K19,0)+IF(ISNUMBER(O19),O19,0)+IF(ISNUMBER(AA19),AA19,0)+IF(ISNUMBER(AE19),AE19,0)+IF(ISNUMBER(AM19),AM19,0)+IF(ISNUMBER(S19),S19,0)+IF(ISNUMBER(W19),W19,0)+IF(ISNUMBER(C19),C19,0)+IF(ISNUMBER(AQ19),AQ19,0)+IF(ISNUMBER(AI19),AI19,0)</f>
        <v>50</v>
      </c>
      <c r="BB19" s="37">
        <f aca="true" t="shared" si="34" ref="BB19:BB24">IF(ISNUMBER(I19),I19,0)+IF(ISNUMBER(M19),M19,0)+IF(ISNUMBER(Q19),Q19,0)+IF(ISNUMBER(AC19),AC19,0)+IF(ISNUMBER(AG19),AG19,0)+IF(ISNUMBER(AO19),AO19,0)+IF(ISNUMBER(U19),U19,0)+IF(ISNUMBER(Y19),Y19,0)+IF(ISNUMBER(E19),E19,0)+IF(ISNUMBER(AS19),AS19,0)+IF(ISNUMBER(AK19),AK19,0)</f>
        <v>32</v>
      </c>
      <c r="BC19" s="37">
        <f t="shared" si="25"/>
        <v>18</v>
      </c>
      <c r="BF19" s="49">
        <f>BK19+COUNTIF(BK$17:BK18,BK19)</f>
        <v>3</v>
      </c>
      <c r="BG19" s="51" t="str">
        <f aca="true" t="shared" si="35" ref="BG19:BG24">+A19</f>
        <v>ＬＢＣ</v>
      </c>
      <c r="BH19" s="49">
        <f aca="true" t="shared" si="36" ref="BH19:BH24">+AZ19</f>
        <v>6</v>
      </c>
      <c r="BI19" s="49">
        <f aca="true" t="shared" si="37" ref="BI19:BI24">+AT19</f>
        <v>3</v>
      </c>
      <c r="BJ19" s="49">
        <f aca="true" t="shared" si="38" ref="BJ19:BJ24">+AT19+AU19+AV19</f>
        <v>5</v>
      </c>
      <c r="BK19" s="49">
        <f aca="true" t="shared" si="39" ref="BK19:BK24">RANK(BH19,BH$18:BH$24)</f>
        <v>3</v>
      </c>
      <c r="BL19" s="50">
        <f aca="true" t="shared" si="40" ref="BL19:BL24">VLOOKUP(ROW(BF2),$BF$18:$BK$24,6,FALSE)</f>
        <v>2</v>
      </c>
      <c r="BM19" s="52" t="str">
        <f aca="true" t="shared" si="41" ref="BM19:BM24">VLOOKUP(ROW(BF2),$BF$18:$BK$24,2,FALSE)</f>
        <v>サンスパッツ</v>
      </c>
      <c r="BN19" s="52">
        <f aca="true" t="shared" si="42" ref="BN19:BN24">VLOOKUP(ROW(BF2),$BF$18:$BK$24,3,FALSE)</f>
        <v>8</v>
      </c>
      <c r="BO19" s="52">
        <f aca="true" t="shared" si="43" ref="BO19:BO24">VLOOKUP(ROW(BF2),$BF$18:$BK$24,4,FALSE)</f>
        <v>4</v>
      </c>
      <c r="BP19" s="52">
        <f aca="true" t="shared" si="44" ref="BP19:BP24">VLOOKUP(ROW(BF2),$BF$18:$BK$24,5,FALSE)</f>
        <v>6</v>
      </c>
      <c r="BQ19" s="62"/>
      <c r="BS19" s="49">
        <f>BV19+COUNTIF(BV$17:BV18,BV19)</f>
        <v>4</v>
      </c>
      <c r="BT19" s="51" t="str">
        <f aca="true" t="shared" si="45" ref="BT19:BT24">+BG19</f>
        <v>ＬＢＣ</v>
      </c>
      <c r="BU19" s="49">
        <f aca="true" t="shared" si="46" ref="BU19:BU24">COUNT(B19:AS19)/2</f>
        <v>5</v>
      </c>
      <c r="BV19" s="49">
        <f aca="true" t="shared" si="47" ref="BV19:BV24">RANK(BU19,BU$18:BU$24)</f>
        <v>4</v>
      </c>
      <c r="BW19" s="50">
        <f aca="true" t="shared" si="48" ref="BW19:BW24">VLOOKUP(ROW(BS2),$BS$18:$BV$24,4,FALSE)</f>
        <v>1</v>
      </c>
      <c r="BX19" s="52" t="str">
        <f aca="true" t="shared" si="49" ref="BX19:BX24">VLOOKUP(ROW(BT2),$BS$18:$BV$24,2,FALSE)</f>
        <v>松戸カージナルス</v>
      </c>
    </row>
    <row r="20" spans="1:76" ht="19.5" customHeight="1">
      <c r="A20" s="107" t="s">
        <v>110</v>
      </c>
      <c r="B20" s="43"/>
      <c r="C20" s="44">
        <v>5</v>
      </c>
      <c r="D20" s="44"/>
      <c r="E20" s="45">
        <v>8</v>
      </c>
      <c r="F20" s="43"/>
      <c r="G20" s="44"/>
      <c r="H20" s="44"/>
      <c r="I20" s="45"/>
      <c r="J20" s="43"/>
      <c r="K20" s="44"/>
      <c r="L20" s="44"/>
      <c r="M20" s="45"/>
      <c r="N20" s="43"/>
      <c r="O20" s="44">
        <f>IF(M21="","",M21)</f>
        <v>9</v>
      </c>
      <c r="P20" s="44"/>
      <c r="Q20" s="45">
        <f>IF(K21="","",K21)</f>
        <v>0</v>
      </c>
      <c r="R20" s="43"/>
      <c r="S20" s="44">
        <f>IF(M22="","",M22)</f>
        <v>18</v>
      </c>
      <c r="T20" s="44"/>
      <c r="U20" s="45">
        <f>IF(K22="","",K22)</f>
        <v>2</v>
      </c>
      <c r="V20" s="43"/>
      <c r="W20" s="44">
        <f>IF(M23="","",M23)</f>
        <v>7</v>
      </c>
      <c r="X20" s="44"/>
      <c r="Y20" s="45">
        <f>IF(K23="","",K23)</f>
        <v>1</v>
      </c>
      <c r="Z20" s="43"/>
      <c r="AA20" s="44">
        <f>IF(M24="","",M24)</f>
        <v>2</v>
      </c>
      <c r="AB20" s="44"/>
      <c r="AC20" s="45">
        <f>IF(K24="","",K24)</f>
        <v>3</v>
      </c>
      <c r="AD20" s="43"/>
      <c r="AE20" s="44">
        <f>IF(M25="","",M25)</f>
      </c>
      <c r="AF20" s="44"/>
      <c r="AG20" s="45">
        <f>IF(K25="","",K25)</f>
      </c>
      <c r="AH20" s="43"/>
      <c r="AI20" s="44">
        <f>IF(M26="","",M26)</f>
      </c>
      <c r="AJ20" s="44"/>
      <c r="AK20" s="45">
        <f>IF(K26="","",K26)</f>
      </c>
      <c r="AL20" s="43"/>
      <c r="AM20" s="44">
        <f>IF(M27="","",M27)</f>
      </c>
      <c r="AN20" s="44"/>
      <c r="AO20" s="45">
        <f>IF(K27="","",K27)</f>
      </c>
      <c r="AP20" s="43"/>
      <c r="AQ20" s="44">
        <f>IF(M28="","",M28)</f>
      </c>
      <c r="AR20" s="44"/>
      <c r="AS20" s="45">
        <f>IF(K28="","",K28)</f>
      </c>
      <c r="AT20" s="47">
        <f t="shared" si="26"/>
        <v>3</v>
      </c>
      <c r="AU20" s="37">
        <f t="shared" si="27"/>
        <v>2</v>
      </c>
      <c r="AV20" s="37">
        <f t="shared" si="28"/>
        <v>0</v>
      </c>
      <c r="AW20" s="38">
        <f t="shared" si="29"/>
        <v>6</v>
      </c>
      <c r="AX20" s="39">
        <f t="shared" si="30"/>
        <v>0</v>
      </c>
      <c r="AY20" s="40">
        <f t="shared" si="31"/>
        <v>0</v>
      </c>
      <c r="AZ20" s="41">
        <f t="shared" si="32"/>
        <v>6</v>
      </c>
      <c r="BA20" s="37">
        <f t="shared" si="33"/>
        <v>41</v>
      </c>
      <c r="BB20" s="37">
        <f t="shared" si="34"/>
        <v>14</v>
      </c>
      <c r="BC20" s="37">
        <f t="shared" si="25"/>
        <v>27</v>
      </c>
      <c r="BD20" s="46"/>
      <c r="BF20" s="49">
        <f>BK20+COUNTIF(BK$17:BK19,BK20)</f>
        <v>4</v>
      </c>
      <c r="BG20" s="51" t="str">
        <f t="shared" si="35"/>
        <v>セントラルパークス</v>
      </c>
      <c r="BH20" s="49">
        <f t="shared" si="36"/>
        <v>6</v>
      </c>
      <c r="BI20" s="49">
        <f t="shared" si="37"/>
        <v>3</v>
      </c>
      <c r="BJ20" s="49">
        <f t="shared" si="38"/>
        <v>5</v>
      </c>
      <c r="BK20" s="49">
        <f t="shared" si="39"/>
        <v>3</v>
      </c>
      <c r="BL20" s="50">
        <f t="shared" si="40"/>
        <v>3</v>
      </c>
      <c r="BM20" s="52" t="str">
        <f t="shared" si="41"/>
        <v>ＬＢＣ</v>
      </c>
      <c r="BN20" s="52">
        <f t="shared" si="42"/>
        <v>6</v>
      </c>
      <c r="BO20" s="52">
        <f t="shared" si="43"/>
        <v>3</v>
      </c>
      <c r="BP20" s="52">
        <f t="shared" si="44"/>
        <v>5</v>
      </c>
      <c r="BQ20" s="62"/>
      <c r="BS20" s="49">
        <f>BV20+COUNTIF(BV$17:BV19,BV20)</f>
        <v>5</v>
      </c>
      <c r="BT20" s="51" t="str">
        <f t="shared" si="45"/>
        <v>セントラルパークス</v>
      </c>
      <c r="BU20" s="49">
        <f t="shared" si="46"/>
        <v>5</v>
      </c>
      <c r="BV20" s="49">
        <f t="shared" si="47"/>
        <v>4</v>
      </c>
      <c r="BW20" s="50">
        <f t="shared" si="48"/>
        <v>1</v>
      </c>
      <c r="BX20" s="52" t="str">
        <f t="shared" si="49"/>
        <v>サンスパッツ</v>
      </c>
    </row>
    <row r="21" spans="1:76" ht="19.5" customHeight="1">
      <c r="A21" s="107" t="s">
        <v>87</v>
      </c>
      <c r="B21" s="43"/>
      <c r="C21" s="44">
        <v>2</v>
      </c>
      <c r="D21" s="44"/>
      <c r="E21" s="45">
        <v>12</v>
      </c>
      <c r="F21" s="43"/>
      <c r="G21" s="44">
        <v>9</v>
      </c>
      <c r="H21" s="44"/>
      <c r="I21" s="45">
        <v>7</v>
      </c>
      <c r="J21" s="43"/>
      <c r="K21" s="44">
        <v>0</v>
      </c>
      <c r="L21" s="44"/>
      <c r="M21" s="45">
        <v>9</v>
      </c>
      <c r="N21" s="43"/>
      <c r="O21" s="44"/>
      <c r="P21" s="44"/>
      <c r="Q21" s="45"/>
      <c r="R21" s="43"/>
      <c r="S21" s="44">
        <f>IF(Q22="","",Q22)</f>
        <v>9</v>
      </c>
      <c r="T21" s="44"/>
      <c r="U21" s="45">
        <f>IF(O22="","",O22)</f>
        <v>8</v>
      </c>
      <c r="V21" s="43"/>
      <c r="W21" s="44">
        <f>IF(Q23="","",Q23)</f>
        <v>9</v>
      </c>
      <c r="X21" s="44"/>
      <c r="Y21" s="45">
        <f>IF(O23="","",O23)</f>
        <v>2</v>
      </c>
      <c r="Z21" s="43"/>
      <c r="AA21" s="44">
        <f>IF(Q24="","",Q24)</f>
        <v>4</v>
      </c>
      <c r="AB21" s="44"/>
      <c r="AC21" s="45">
        <f>IF(O24="","",O24)</f>
        <v>6</v>
      </c>
      <c r="AD21" s="43"/>
      <c r="AE21" s="44">
        <f>IF(Q25="","",Q25)</f>
      </c>
      <c r="AF21" s="44"/>
      <c r="AG21" s="45">
        <f>IF(O25="","",O25)</f>
      </c>
      <c r="AH21" s="43"/>
      <c r="AI21" s="44">
        <f>IF(Q26="","",Q26)</f>
      </c>
      <c r="AJ21" s="44"/>
      <c r="AK21" s="45">
        <f>IF(O26="","",O26)</f>
      </c>
      <c r="AL21" s="43"/>
      <c r="AM21" s="44">
        <f>IF(Q27="","",Q27)</f>
      </c>
      <c r="AN21" s="44"/>
      <c r="AO21" s="45">
        <f>IF(O27="","",O27)</f>
      </c>
      <c r="AP21" s="43"/>
      <c r="AQ21" s="44">
        <f>IF(Q28="","",Q28)</f>
      </c>
      <c r="AR21" s="44"/>
      <c r="AS21" s="45">
        <f>IF(O28="","",O28)</f>
      </c>
      <c r="AT21" s="47">
        <f t="shared" si="26"/>
        <v>3</v>
      </c>
      <c r="AU21" s="37">
        <f t="shared" si="27"/>
        <v>3</v>
      </c>
      <c r="AV21" s="37">
        <f t="shared" si="28"/>
        <v>0</v>
      </c>
      <c r="AW21" s="38">
        <f t="shared" si="29"/>
        <v>6</v>
      </c>
      <c r="AX21" s="39">
        <f t="shared" si="30"/>
        <v>0</v>
      </c>
      <c r="AY21" s="40">
        <f t="shared" si="31"/>
        <v>0</v>
      </c>
      <c r="AZ21" s="41">
        <f t="shared" si="32"/>
        <v>6</v>
      </c>
      <c r="BA21" s="37">
        <f t="shared" si="33"/>
        <v>33</v>
      </c>
      <c r="BB21" s="37">
        <f t="shared" si="34"/>
        <v>44</v>
      </c>
      <c r="BC21" s="37">
        <f t="shared" si="25"/>
        <v>-11</v>
      </c>
      <c r="BF21" s="49">
        <f>BK21+COUNTIF(BK$17:BK20,BK21)</f>
        <v>5</v>
      </c>
      <c r="BG21" s="51" t="str">
        <f t="shared" si="35"/>
        <v>松戸カージナルス</v>
      </c>
      <c r="BH21" s="49">
        <f t="shared" si="36"/>
        <v>6</v>
      </c>
      <c r="BI21" s="49">
        <f t="shared" si="37"/>
        <v>3</v>
      </c>
      <c r="BJ21" s="49">
        <f t="shared" si="38"/>
        <v>6</v>
      </c>
      <c r="BK21" s="49">
        <f t="shared" si="39"/>
        <v>3</v>
      </c>
      <c r="BL21" s="50">
        <f t="shared" si="40"/>
        <v>3</v>
      </c>
      <c r="BM21" s="52" t="str">
        <f t="shared" si="41"/>
        <v>セントラルパークス</v>
      </c>
      <c r="BN21" s="52">
        <f t="shared" si="42"/>
        <v>6</v>
      </c>
      <c r="BO21" s="52">
        <f t="shared" si="43"/>
        <v>3</v>
      </c>
      <c r="BP21" s="52">
        <f t="shared" si="44"/>
        <v>5</v>
      </c>
      <c r="BQ21" s="62"/>
      <c r="BS21" s="49">
        <f>BV21+COUNTIF(BV$17:BV20,BV21)</f>
        <v>2</v>
      </c>
      <c r="BT21" s="51" t="str">
        <f t="shared" si="45"/>
        <v>松戸カージナルス</v>
      </c>
      <c r="BU21" s="49">
        <f t="shared" si="46"/>
        <v>6</v>
      </c>
      <c r="BV21" s="49">
        <f t="shared" si="47"/>
        <v>1</v>
      </c>
      <c r="BW21" s="50">
        <f t="shared" si="48"/>
        <v>4</v>
      </c>
      <c r="BX21" s="52" t="str">
        <f t="shared" si="49"/>
        <v>ＬＢＣ</v>
      </c>
    </row>
    <row r="22" spans="1:76" ht="19.5" customHeight="1">
      <c r="A22" s="107" t="s">
        <v>124</v>
      </c>
      <c r="B22" s="43"/>
      <c r="C22" s="44">
        <v>2</v>
      </c>
      <c r="D22" s="44"/>
      <c r="E22" s="45">
        <v>16</v>
      </c>
      <c r="F22" s="43"/>
      <c r="G22" s="44">
        <v>1</v>
      </c>
      <c r="H22" s="44"/>
      <c r="I22" s="45">
        <v>19</v>
      </c>
      <c r="J22" s="43"/>
      <c r="K22" s="44">
        <v>2</v>
      </c>
      <c r="L22" s="44"/>
      <c r="M22" s="45">
        <v>18</v>
      </c>
      <c r="N22" s="43"/>
      <c r="O22" s="44">
        <v>8</v>
      </c>
      <c r="P22" s="44"/>
      <c r="Q22" s="45">
        <v>9</v>
      </c>
      <c r="R22" s="43"/>
      <c r="S22" s="44"/>
      <c r="T22" s="44"/>
      <c r="U22" s="45"/>
      <c r="V22" s="43"/>
      <c r="W22" s="44">
        <f>IF(U23="","",U23)</f>
      </c>
      <c r="X22" s="44"/>
      <c r="Y22" s="45">
        <f>IF(S23="","",S23)</f>
      </c>
      <c r="Z22" s="43"/>
      <c r="AA22" s="44">
        <f>IF(U24="","",U24)</f>
        <v>2</v>
      </c>
      <c r="AB22" s="44"/>
      <c r="AC22" s="45">
        <f>IF(S24="","",S24)</f>
        <v>14</v>
      </c>
      <c r="AD22" s="43"/>
      <c r="AE22" s="44">
        <f>IF(U25="","",U25)</f>
      </c>
      <c r="AF22" s="44"/>
      <c r="AG22" s="45">
        <f>IF(S25="","",S25)</f>
      </c>
      <c r="AH22" s="43"/>
      <c r="AI22" s="44">
        <f>IF(U26="","",U26)</f>
      </c>
      <c r="AJ22" s="44"/>
      <c r="AK22" s="45">
        <f>IF(S26="","",S26)</f>
      </c>
      <c r="AL22" s="43"/>
      <c r="AM22" s="44">
        <f>IF(U27="","",U27)</f>
      </c>
      <c r="AN22" s="44"/>
      <c r="AO22" s="45">
        <f>IF(S27="","",S27)</f>
      </c>
      <c r="AP22" s="43"/>
      <c r="AQ22" s="44">
        <f>IF(U28="","",U28)</f>
      </c>
      <c r="AR22" s="44"/>
      <c r="AS22" s="45">
        <f>IF(S28="","",S28)</f>
      </c>
      <c r="AT22" s="47">
        <f t="shared" si="26"/>
        <v>0</v>
      </c>
      <c r="AU22" s="37">
        <f t="shared" si="27"/>
        <v>5</v>
      </c>
      <c r="AV22" s="37">
        <f t="shared" si="28"/>
        <v>0</v>
      </c>
      <c r="AW22" s="38">
        <f t="shared" si="29"/>
        <v>0</v>
      </c>
      <c r="AX22" s="39">
        <f t="shared" si="30"/>
        <v>0</v>
      </c>
      <c r="AY22" s="40">
        <f t="shared" si="31"/>
        <v>0</v>
      </c>
      <c r="AZ22" s="41">
        <f t="shared" si="32"/>
        <v>0</v>
      </c>
      <c r="BA22" s="37">
        <f t="shared" si="33"/>
        <v>15</v>
      </c>
      <c r="BB22" s="37">
        <f t="shared" si="34"/>
        <v>76</v>
      </c>
      <c r="BC22" s="37">
        <f t="shared" si="25"/>
        <v>-61</v>
      </c>
      <c r="BF22" s="49">
        <f>BK22+COUNTIF(BK$17:BK21,BK22)</f>
        <v>6</v>
      </c>
      <c r="BG22" s="51" t="str">
        <f t="shared" si="35"/>
        <v>流山ホークス</v>
      </c>
      <c r="BH22" s="49">
        <f t="shared" si="36"/>
        <v>0</v>
      </c>
      <c r="BI22" s="49">
        <f t="shared" si="37"/>
        <v>0</v>
      </c>
      <c r="BJ22" s="49">
        <f t="shared" si="38"/>
        <v>5</v>
      </c>
      <c r="BK22" s="49">
        <f t="shared" si="39"/>
        <v>6</v>
      </c>
      <c r="BL22" s="50">
        <f t="shared" si="40"/>
        <v>3</v>
      </c>
      <c r="BM22" s="52" t="str">
        <f t="shared" si="41"/>
        <v>松戸カージナルス</v>
      </c>
      <c r="BN22" s="52">
        <f t="shared" si="42"/>
        <v>6</v>
      </c>
      <c r="BO22" s="52">
        <f t="shared" si="43"/>
        <v>3</v>
      </c>
      <c r="BP22" s="52">
        <f t="shared" si="44"/>
        <v>6</v>
      </c>
      <c r="BQ22" s="62"/>
      <c r="BS22" s="49">
        <f>BV22+COUNTIF(BV$17:BV21,BV22)</f>
        <v>6</v>
      </c>
      <c r="BT22" s="51" t="str">
        <f t="shared" si="45"/>
        <v>流山ホークス</v>
      </c>
      <c r="BU22" s="49">
        <f t="shared" si="46"/>
        <v>5</v>
      </c>
      <c r="BV22" s="49">
        <f t="shared" si="47"/>
        <v>4</v>
      </c>
      <c r="BW22" s="50">
        <f t="shared" si="48"/>
        <v>4</v>
      </c>
      <c r="BX22" s="52" t="str">
        <f t="shared" si="49"/>
        <v>セントラルパークス</v>
      </c>
    </row>
    <row r="23" spans="1:76" ht="19.5" customHeight="1">
      <c r="A23" s="107" t="s">
        <v>93</v>
      </c>
      <c r="B23" s="43"/>
      <c r="C23" s="44">
        <v>5</v>
      </c>
      <c r="D23" s="44"/>
      <c r="E23" s="45">
        <v>14</v>
      </c>
      <c r="F23" s="43"/>
      <c r="G23" s="44">
        <v>6</v>
      </c>
      <c r="H23" s="44"/>
      <c r="I23" s="45">
        <v>12</v>
      </c>
      <c r="J23" s="43"/>
      <c r="K23" s="44">
        <v>1</v>
      </c>
      <c r="L23" s="44"/>
      <c r="M23" s="45">
        <v>7</v>
      </c>
      <c r="N23" s="43"/>
      <c r="O23" s="44">
        <v>2</v>
      </c>
      <c r="P23" s="44"/>
      <c r="Q23" s="45">
        <v>9</v>
      </c>
      <c r="R23" s="43"/>
      <c r="S23" s="44"/>
      <c r="T23" s="44"/>
      <c r="U23" s="45"/>
      <c r="V23" s="43"/>
      <c r="W23" s="44"/>
      <c r="X23" s="44"/>
      <c r="Y23" s="45"/>
      <c r="Z23" s="43"/>
      <c r="AA23" s="44">
        <f>IF(Y24="","",Y24)</f>
        <v>4</v>
      </c>
      <c r="AB23" s="44"/>
      <c r="AC23" s="45">
        <f>IF(W24="","",W24)</f>
        <v>6</v>
      </c>
      <c r="AD23" s="43"/>
      <c r="AE23" s="44">
        <f>IF(Y25="","",Y25)</f>
      </c>
      <c r="AF23" s="44"/>
      <c r="AG23" s="45">
        <f>IF(W25="","",W25)</f>
      </c>
      <c r="AH23" s="43"/>
      <c r="AI23" s="44">
        <f>IF(Y26="","",Y26)</f>
      </c>
      <c r="AJ23" s="44"/>
      <c r="AK23" s="45">
        <f>IF(W26="","",W26)</f>
      </c>
      <c r="AL23" s="43"/>
      <c r="AM23" s="44">
        <f>IF(Y27="","",Y27)</f>
      </c>
      <c r="AN23" s="44"/>
      <c r="AO23" s="45">
        <f>IF(W27="","",W27)</f>
      </c>
      <c r="AP23" s="43"/>
      <c r="AQ23" s="44">
        <f>IF(Y28="","",Y28)</f>
      </c>
      <c r="AR23" s="44"/>
      <c r="AS23" s="45">
        <f>IF(W28="","",W28)</f>
      </c>
      <c r="AT23" s="47">
        <f t="shared" si="26"/>
        <v>0</v>
      </c>
      <c r="AU23" s="37">
        <f t="shared" si="27"/>
        <v>5</v>
      </c>
      <c r="AV23" s="37">
        <f t="shared" si="28"/>
        <v>0</v>
      </c>
      <c r="AW23" s="38">
        <f t="shared" si="29"/>
        <v>0</v>
      </c>
      <c r="AX23" s="39">
        <f t="shared" si="30"/>
        <v>0</v>
      </c>
      <c r="AY23" s="40">
        <f t="shared" si="31"/>
        <v>0</v>
      </c>
      <c r="AZ23" s="41">
        <f t="shared" si="32"/>
        <v>0</v>
      </c>
      <c r="BA23" s="37">
        <f t="shared" si="33"/>
        <v>18</v>
      </c>
      <c r="BB23" s="37">
        <f t="shared" si="34"/>
        <v>48</v>
      </c>
      <c r="BC23" s="37">
        <f t="shared" si="25"/>
        <v>-30</v>
      </c>
      <c r="BF23" s="49">
        <f>BK23+COUNTIF(BK$17:BK22,BK23)</f>
        <v>7</v>
      </c>
      <c r="BG23" s="51" t="str">
        <f t="shared" si="35"/>
        <v>増尾レッドスターズ</v>
      </c>
      <c r="BH23" s="49">
        <f t="shared" si="36"/>
        <v>0</v>
      </c>
      <c r="BI23" s="49">
        <f t="shared" si="37"/>
        <v>0</v>
      </c>
      <c r="BJ23" s="49">
        <f t="shared" si="38"/>
        <v>5</v>
      </c>
      <c r="BK23" s="49">
        <f t="shared" si="39"/>
        <v>6</v>
      </c>
      <c r="BL23" s="50">
        <f t="shared" si="40"/>
        <v>6</v>
      </c>
      <c r="BM23" s="52" t="str">
        <f t="shared" si="41"/>
        <v>流山ホークス</v>
      </c>
      <c r="BN23" s="52">
        <f t="shared" si="42"/>
        <v>0</v>
      </c>
      <c r="BO23" s="52">
        <f t="shared" si="43"/>
        <v>0</v>
      </c>
      <c r="BP23" s="52">
        <f t="shared" si="44"/>
        <v>5</v>
      </c>
      <c r="BQ23" s="62"/>
      <c r="BS23" s="49">
        <f>BV23+COUNTIF(BV$17:BV22,BV23)</f>
        <v>7</v>
      </c>
      <c r="BT23" s="51" t="str">
        <f t="shared" si="45"/>
        <v>増尾レッドスターズ</v>
      </c>
      <c r="BU23" s="49">
        <f t="shared" si="46"/>
        <v>5</v>
      </c>
      <c r="BV23" s="49">
        <f t="shared" si="47"/>
        <v>4</v>
      </c>
      <c r="BW23" s="50">
        <f t="shared" si="48"/>
        <v>4</v>
      </c>
      <c r="BX23" s="52" t="str">
        <f t="shared" si="49"/>
        <v>流山ホークス</v>
      </c>
    </row>
    <row r="24" spans="1:76" ht="19.5" customHeight="1">
      <c r="A24" s="107" t="s">
        <v>108</v>
      </c>
      <c r="B24" s="43"/>
      <c r="C24" s="44">
        <v>1</v>
      </c>
      <c r="D24" s="44"/>
      <c r="E24" s="45">
        <v>8</v>
      </c>
      <c r="F24" s="43"/>
      <c r="G24" s="44">
        <v>5</v>
      </c>
      <c r="H24" s="44"/>
      <c r="I24" s="45">
        <v>10</v>
      </c>
      <c r="J24" s="43"/>
      <c r="K24" s="44">
        <v>3</v>
      </c>
      <c r="L24" s="44"/>
      <c r="M24" s="45">
        <v>2</v>
      </c>
      <c r="N24" s="43"/>
      <c r="O24" s="44">
        <v>6</v>
      </c>
      <c r="P24" s="44"/>
      <c r="Q24" s="45">
        <v>4</v>
      </c>
      <c r="R24" s="43"/>
      <c r="S24" s="44">
        <v>14</v>
      </c>
      <c r="T24" s="44"/>
      <c r="U24" s="45">
        <v>2</v>
      </c>
      <c r="V24" s="43"/>
      <c r="W24" s="44">
        <v>6</v>
      </c>
      <c r="X24" s="44"/>
      <c r="Y24" s="45">
        <v>4</v>
      </c>
      <c r="Z24" s="43"/>
      <c r="AA24" s="44"/>
      <c r="AB24" s="44"/>
      <c r="AC24" s="45"/>
      <c r="AD24" s="43"/>
      <c r="AE24" s="44">
        <f>IF(AC25="","",AC25)</f>
      </c>
      <c r="AF24" s="44"/>
      <c r="AG24" s="45">
        <f>IF(AA25="","",AA25)</f>
      </c>
      <c r="AH24" s="43"/>
      <c r="AI24" s="44">
        <f>IF(AC26="","",AC26)</f>
      </c>
      <c r="AJ24" s="44"/>
      <c r="AK24" s="45">
        <f>IF(AA26="","",AA26)</f>
      </c>
      <c r="AL24" s="43"/>
      <c r="AM24" s="44">
        <f>IF(AC27="","",AC27)</f>
      </c>
      <c r="AN24" s="44"/>
      <c r="AO24" s="45">
        <f>IF(AA27="","",AA27)</f>
      </c>
      <c r="AP24" s="43"/>
      <c r="AQ24" s="44">
        <f>IF(AC28="","",AC28)</f>
      </c>
      <c r="AR24" s="44"/>
      <c r="AS24" s="45">
        <f>IF(AA28="","",AA28)</f>
      </c>
      <c r="AT24" s="47">
        <f t="shared" si="26"/>
        <v>4</v>
      </c>
      <c r="AU24" s="37">
        <f t="shared" si="27"/>
        <v>2</v>
      </c>
      <c r="AV24" s="37">
        <f t="shared" si="28"/>
        <v>0</v>
      </c>
      <c r="AW24" s="38">
        <f t="shared" si="29"/>
        <v>8</v>
      </c>
      <c r="AX24" s="39">
        <f t="shared" si="30"/>
        <v>0</v>
      </c>
      <c r="AY24" s="40">
        <f t="shared" si="31"/>
        <v>0</v>
      </c>
      <c r="AZ24" s="41">
        <f t="shared" si="32"/>
        <v>8</v>
      </c>
      <c r="BA24" s="37">
        <f t="shared" si="33"/>
        <v>35</v>
      </c>
      <c r="BB24" s="37">
        <f t="shared" si="34"/>
        <v>30</v>
      </c>
      <c r="BC24" s="37">
        <f t="shared" si="25"/>
        <v>5</v>
      </c>
      <c r="BF24" s="49">
        <f>BK24+COUNTIF(BK$17:BK23,BK24)</f>
        <v>2</v>
      </c>
      <c r="BG24" s="51" t="str">
        <f t="shared" si="35"/>
        <v>サンスパッツ</v>
      </c>
      <c r="BH24" s="49">
        <f t="shared" si="36"/>
        <v>8</v>
      </c>
      <c r="BI24" s="49">
        <f t="shared" si="37"/>
        <v>4</v>
      </c>
      <c r="BJ24" s="49">
        <f t="shared" si="38"/>
        <v>6</v>
      </c>
      <c r="BK24" s="49">
        <f t="shared" si="39"/>
        <v>2</v>
      </c>
      <c r="BL24" s="50">
        <f t="shared" si="40"/>
        <v>6</v>
      </c>
      <c r="BM24" s="52" t="str">
        <f t="shared" si="41"/>
        <v>増尾レッドスターズ</v>
      </c>
      <c r="BN24" s="52">
        <f t="shared" si="42"/>
        <v>0</v>
      </c>
      <c r="BO24" s="52">
        <f t="shared" si="43"/>
        <v>0</v>
      </c>
      <c r="BP24" s="52">
        <f t="shared" si="44"/>
        <v>5</v>
      </c>
      <c r="BQ24" s="62"/>
      <c r="BS24" s="49">
        <f>BV24+COUNTIF(BV$17:BV23,BV24)</f>
        <v>3</v>
      </c>
      <c r="BT24" s="51" t="str">
        <f t="shared" si="45"/>
        <v>サンスパッツ</v>
      </c>
      <c r="BU24" s="49">
        <f t="shared" si="46"/>
        <v>6</v>
      </c>
      <c r="BV24" s="49">
        <f t="shared" si="47"/>
        <v>1</v>
      </c>
      <c r="BW24" s="50">
        <f t="shared" si="48"/>
        <v>4</v>
      </c>
      <c r="BX24" s="52" t="str">
        <f t="shared" si="49"/>
        <v>増尾レッドスターズ</v>
      </c>
    </row>
    <row r="25" spans="1:76" ht="19.5" customHeight="1">
      <c r="A25" s="107"/>
      <c r="B25" s="43"/>
      <c r="C25" s="44"/>
      <c r="D25" s="44"/>
      <c r="E25" s="45"/>
      <c r="F25" s="43"/>
      <c r="G25" s="44"/>
      <c r="H25" s="44"/>
      <c r="I25" s="45"/>
      <c r="J25" s="43"/>
      <c r="K25" s="44"/>
      <c r="L25" s="44"/>
      <c r="M25" s="45"/>
      <c r="N25" s="43"/>
      <c r="O25" s="44"/>
      <c r="P25" s="44"/>
      <c r="Q25" s="45"/>
      <c r="R25" s="43"/>
      <c r="S25" s="44"/>
      <c r="T25" s="44"/>
      <c r="U25" s="45"/>
      <c r="V25" s="43"/>
      <c r="W25" s="44"/>
      <c r="X25" s="44"/>
      <c r="Y25" s="45"/>
      <c r="Z25" s="43"/>
      <c r="AA25" s="44"/>
      <c r="AB25" s="44"/>
      <c r="AC25" s="45"/>
      <c r="AD25" s="43"/>
      <c r="AE25" s="44"/>
      <c r="AF25" s="44"/>
      <c r="AG25" s="45"/>
      <c r="AH25" s="43"/>
      <c r="AI25" s="44">
        <f>IF(AG26="","",AG26)</f>
      </c>
      <c r="AJ25" s="44"/>
      <c r="AK25" s="45">
        <f>IF(AE26="","",AE26)</f>
      </c>
      <c r="AL25" s="43"/>
      <c r="AM25" s="44">
        <f>IF(AG27="","",AG27)</f>
      </c>
      <c r="AN25" s="44"/>
      <c r="AO25" s="45">
        <f>IF(AE27="","",AE27)</f>
      </c>
      <c r="AP25" s="43"/>
      <c r="AQ25" s="44">
        <f>IF(AG28="","",AG28)</f>
      </c>
      <c r="AR25" s="44"/>
      <c r="AS25" s="45">
        <f>IF(AE28="","",AE28)</f>
      </c>
      <c r="AT25" s="47"/>
      <c r="AU25" s="37"/>
      <c r="AV25" s="37"/>
      <c r="AW25" s="38"/>
      <c r="AX25" s="39"/>
      <c r="AY25" s="40"/>
      <c r="AZ25" s="41"/>
      <c r="BA25" s="37"/>
      <c r="BB25" s="37"/>
      <c r="BC25" s="37"/>
      <c r="BF25" s="49"/>
      <c r="BG25" s="51"/>
      <c r="BH25" s="49"/>
      <c r="BI25" s="49"/>
      <c r="BJ25" s="49"/>
      <c r="BK25" s="49"/>
      <c r="BL25" s="50"/>
      <c r="BM25" s="52"/>
      <c r="BN25" s="52"/>
      <c r="BO25" s="52"/>
      <c r="BP25" s="52"/>
      <c r="BQ25" s="62"/>
      <c r="BS25" s="49"/>
      <c r="BT25" s="51"/>
      <c r="BU25" s="49"/>
      <c r="BV25" s="49"/>
      <c r="BW25" s="50"/>
      <c r="BX25" s="52"/>
    </row>
    <row r="26" spans="1:76" ht="19.5" customHeight="1">
      <c r="A26" s="107"/>
      <c r="B26" s="43"/>
      <c r="C26" s="44"/>
      <c r="D26" s="44"/>
      <c r="E26" s="45"/>
      <c r="F26" s="43"/>
      <c r="G26" s="44"/>
      <c r="H26" s="44"/>
      <c r="I26" s="45"/>
      <c r="J26" s="43"/>
      <c r="K26" s="44"/>
      <c r="L26" s="44"/>
      <c r="M26" s="45"/>
      <c r="N26" s="43"/>
      <c r="O26" s="44"/>
      <c r="P26" s="44"/>
      <c r="Q26" s="45"/>
      <c r="R26" s="43"/>
      <c r="S26" s="44"/>
      <c r="T26" s="44"/>
      <c r="U26" s="45"/>
      <c r="V26" s="43"/>
      <c r="W26" s="44"/>
      <c r="X26" s="44"/>
      <c r="Y26" s="45"/>
      <c r="Z26" s="43"/>
      <c r="AA26" s="44"/>
      <c r="AB26" s="44"/>
      <c r="AC26" s="45"/>
      <c r="AD26" s="43"/>
      <c r="AE26" s="44"/>
      <c r="AF26" s="44"/>
      <c r="AG26" s="45"/>
      <c r="AH26" s="44"/>
      <c r="AI26" s="44"/>
      <c r="AJ26" s="44"/>
      <c r="AK26" s="44"/>
      <c r="AL26" s="43"/>
      <c r="AM26" s="44">
        <f>IF(AK27="","",AK27)</f>
      </c>
      <c r="AN26" s="44"/>
      <c r="AO26" s="45">
        <f>IF(AI27="","",AI27)</f>
      </c>
      <c r="AP26" s="43"/>
      <c r="AQ26" s="44">
        <f>IF(AK28="","",AK28)</f>
      </c>
      <c r="AR26" s="44"/>
      <c r="AS26" s="45">
        <f>IF(AI28="","",AI28)</f>
      </c>
      <c r="AT26" s="47"/>
      <c r="AU26" s="37"/>
      <c r="AV26" s="37"/>
      <c r="AW26" s="38"/>
      <c r="AX26" s="39"/>
      <c r="AY26" s="40"/>
      <c r="AZ26" s="41"/>
      <c r="BA26" s="37"/>
      <c r="BB26" s="37"/>
      <c r="BC26" s="37"/>
      <c r="BF26" s="49"/>
      <c r="BG26" s="51"/>
      <c r="BH26" s="49"/>
      <c r="BI26" s="49"/>
      <c r="BJ26" s="49"/>
      <c r="BK26" s="49"/>
      <c r="BL26" s="50"/>
      <c r="BM26" s="52"/>
      <c r="BN26" s="52"/>
      <c r="BO26" s="52"/>
      <c r="BP26" s="52"/>
      <c r="BQ26" s="62"/>
      <c r="BS26" s="49"/>
      <c r="BT26" s="51"/>
      <c r="BU26" s="49"/>
      <c r="BV26" s="49"/>
      <c r="BW26" s="50"/>
      <c r="BX26" s="52"/>
    </row>
    <row r="27" spans="1:76" ht="19.5" customHeight="1">
      <c r="A27" s="107"/>
      <c r="B27" s="43"/>
      <c r="C27" s="44"/>
      <c r="D27" s="44"/>
      <c r="E27" s="45"/>
      <c r="F27" s="43"/>
      <c r="G27" s="44"/>
      <c r="H27" s="44"/>
      <c r="I27" s="45"/>
      <c r="J27" s="43"/>
      <c r="K27" s="44"/>
      <c r="L27" s="44"/>
      <c r="M27" s="45"/>
      <c r="N27" s="43"/>
      <c r="O27" s="44"/>
      <c r="P27" s="44"/>
      <c r="Q27" s="45"/>
      <c r="R27" s="43"/>
      <c r="S27" s="44"/>
      <c r="T27" s="44"/>
      <c r="U27" s="45"/>
      <c r="V27" s="43"/>
      <c r="W27" s="44"/>
      <c r="X27" s="44"/>
      <c r="Y27" s="45"/>
      <c r="Z27" s="43"/>
      <c r="AA27" s="44"/>
      <c r="AB27" s="44"/>
      <c r="AC27" s="45"/>
      <c r="AD27" s="43"/>
      <c r="AE27" s="44"/>
      <c r="AF27" s="44"/>
      <c r="AG27" s="45"/>
      <c r="AH27" s="44"/>
      <c r="AI27" s="44"/>
      <c r="AJ27" s="44"/>
      <c r="AK27" s="45"/>
      <c r="AL27" s="43"/>
      <c r="AM27" s="44"/>
      <c r="AN27" s="44"/>
      <c r="AO27" s="45"/>
      <c r="AP27" s="43"/>
      <c r="AQ27" s="44">
        <f>IF(AO28="","",AO28)</f>
      </c>
      <c r="AR27" s="44"/>
      <c r="AS27" s="45">
        <f>IF(AM28="","",AM28)</f>
      </c>
      <c r="AT27" s="47"/>
      <c r="AU27" s="37"/>
      <c r="AV27" s="37"/>
      <c r="AW27" s="38"/>
      <c r="AX27" s="39"/>
      <c r="AY27" s="40"/>
      <c r="AZ27" s="41"/>
      <c r="BA27" s="37"/>
      <c r="BB27" s="37"/>
      <c r="BC27" s="37"/>
      <c r="BF27" s="49"/>
      <c r="BG27" s="51"/>
      <c r="BH27" s="49"/>
      <c r="BI27" s="49"/>
      <c r="BJ27" s="49"/>
      <c r="BK27" s="49"/>
      <c r="BL27" s="50"/>
      <c r="BM27" s="52"/>
      <c r="BN27" s="52"/>
      <c r="BO27" s="52"/>
      <c r="BP27" s="52"/>
      <c r="BQ27" s="62"/>
      <c r="BS27" s="49"/>
      <c r="BT27" s="51"/>
      <c r="BU27" s="49"/>
      <c r="BV27" s="49"/>
      <c r="BW27" s="50"/>
      <c r="BX27" s="52"/>
    </row>
    <row r="28" spans="1:76" ht="19.5" customHeight="1">
      <c r="A28" s="86"/>
      <c r="B28" s="43"/>
      <c r="C28" s="44"/>
      <c r="D28" s="44"/>
      <c r="E28" s="45"/>
      <c r="F28" s="43"/>
      <c r="G28" s="44"/>
      <c r="H28" s="44"/>
      <c r="I28" s="45"/>
      <c r="J28" s="43"/>
      <c r="K28" s="44"/>
      <c r="L28" s="44"/>
      <c r="M28" s="45"/>
      <c r="N28" s="43"/>
      <c r="O28" s="44"/>
      <c r="P28" s="44"/>
      <c r="Q28" s="45"/>
      <c r="R28" s="43"/>
      <c r="S28" s="44"/>
      <c r="T28" s="44"/>
      <c r="U28" s="45"/>
      <c r="V28" s="43"/>
      <c r="W28" s="44"/>
      <c r="X28" s="44"/>
      <c r="Y28" s="45"/>
      <c r="Z28" s="43"/>
      <c r="AA28" s="44"/>
      <c r="AB28" s="44"/>
      <c r="AC28" s="45"/>
      <c r="AD28" s="43"/>
      <c r="AE28" s="44"/>
      <c r="AF28" s="44"/>
      <c r="AG28" s="45"/>
      <c r="AH28" s="44"/>
      <c r="AI28" s="44"/>
      <c r="AJ28" s="44"/>
      <c r="AK28" s="44"/>
      <c r="AL28" s="43"/>
      <c r="AM28" s="44"/>
      <c r="AN28" s="44"/>
      <c r="AO28" s="45"/>
      <c r="AP28" s="43"/>
      <c r="AQ28" s="44"/>
      <c r="AR28" s="44"/>
      <c r="AS28" s="45"/>
      <c r="AT28" s="47"/>
      <c r="AU28" s="37"/>
      <c r="AV28" s="37"/>
      <c r="AW28" s="38"/>
      <c r="AX28" s="39"/>
      <c r="AY28" s="40"/>
      <c r="AZ28" s="41"/>
      <c r="BA28" s="37"/>
      <c r="BB28" s="37"/>
      <c r="BC28" s="37"/>
      <c r="BF28" s="49"/>
      <c r="BG28" s="51"/>
      <c r="BH28" s="49"/>
      <c r="BI28" s="49"/>
      <c r="BJ28" s="49"/>
      <c r="BK28" s="49"/>
      <c r="BL28" s="50"/>
      <c r="BM28" s="52"/>
      <c r="BN28" s="52"/>
      <c r="BO28" s="52"/>
      <c r="BP28" s="52"/>
      <c r="BQ28" s="62"/>
      <c r="BS28" s="49"/>
      <c r="BT28" s="51"/>
      <c r="BU28" s="49"/>
      <c r="BV28" s="49"/>
      <c r="BW28" s="50"/>
      <c r="BX28" s="52"/>
    </row>
    <row r="29" spans="1:74" ht="19.5" customHeight="1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9"/>
      <c r="AO29" s="1"/>
      <c r="AP29" s="1"/>
      <c r="AQ29" s="1"/>
      <c r="AR29" s="1"/>
      <c r="AS29" s="1"/>
      <c r="AT29" s="7">
        <f>SUM(AT18:AT28)</f>
        <v>19</v>
      </c>
      <c r="AU29" s="7">
        <f>SUM(AU18:AU28)</f>
        <v>19</v>
      </c>
      <c r="AV29" s="7">
        <f>SUM(AV18:AV28)</f>
        <v>0</v>
      </c>
      <c r="AW29" s="7"/>
      <c r="AX29" s="7"/>
      <c r="AY29" s="1"/>
      <c r="AZ29" s="1"/>
      <c r="BA29" s="1">
        <f>SUM(BA18:BA28)</f>
        <v>261</v>
      </c>
      <c r="BB29" s="1">
        <f>SUM(BB18:BB28)</f>
        <v>261</v>
      </c>
      <c r="BC29" s="1">
        <f>SUM(BC18:BC28)</f>
        <v>0</v>
      </c>
      <c r="BU29" s="60">
        <f>SUM(BU18:BU28)/2</f>
        <v>19</v>
      </c>
      <c r="BV29" s="3">
        <f>7*6/2</f>
        <v>21</v>
      </c>
    </row>
    <row r="30" spans="1:55" ht="19.5" customHeight="1">
      <c r="A30" s="105" t="s">
        <v>73</v>
      </c>
      <c r="B30" s="90" t="s">
        <v>71</v>
      </c>
      <c r="C30" s="58"/>
      <c r="D30" s="58"/>
      <c r="E30" s="58"/>
      <c r="F30" s="58"/>
      <c r="G30" s="158" t="str">
        <f>"１日"&amp;ROUND((BV43-BU43)/'戦績'!N42,1)&amp;"試合"</f>
        <v>１日0試合</v>
      </c>
      <c r="H30" s="158"/>
      <c r="I30" s="158"/>
      <c r="J30" s="158"/>
      <c r="K30" s="153" t="s">
        <v>24</v>
      </c>
      <c r="L30" s="153"/>
      <c r="M30" s="153"/>
      <c r="N30" s="153"/>
      <c r="O30" s="154" t="str">
        <f>IF(C71&gt;C70,+BM32,"")</f>
        <v>常盤平ボーイズ</v>
      </c>
      <c r="P30" s="154"/>
      <c r="Q30" s="154"/>
      <c r="R30" s="154"/>
      <c r="S30" s="154"/>
      <c r="T30" s="59"/>
      <c r="U30" s="153" t="s">
        <v>25</v>
      </c>
      <c r="V30" s="153"/>
      <c r="W30" s="153"/>
      <c r="X30" s="153"/>
      <c r="Y30" s="154" t="str">
        <f>IF(C71&gt;C70,+BM33,"")</f>
        <v>沼南フラワーズ</v>
      </c>
      <c r="Z30" s="154"/>
      <c r="AA30" s="154"/>
      <c r="AB30" s="154"/>
      <c r="AC30" s="154"/>
      <c r="AD30" s="154"/>
      <c r="AE30" s="1"/>
      <c r="AF30" s="1"/>
      <c r="AG30" s="1"/>
      <c r="AH30" s="1"/>
      <c r="AI30" s="1"/>
      <c r="AJ30" s="1"/>
      <c r="AK30" s="1"/>
      <c r="AL30" s="1"/>
      <c r="AM30" s="1"/>
      <c r="AN30" s="61" t="s">
        <v>30</v>
      </c>
      <c r="AO30" s="1"/>
      <c r="AP30" s="1"/>
      <c r="AQ30" s="1"/>
      <c r="AR30" s="151">
        <f>+BU43/(MAX(BF32:BF41)*(MAX(BF32:BF41)-1)/2)</f>
        <v>1</v>
      </c>
      <c r="AS30" s="151"/>
      <c r="AT30" s="67">
        <f>IF(AT29=AU29,"","計算間違い")</f>
      </c>
      <c r="AU30" s="1"/>
      <c r="AV30" s="1"/>
      <c r="AW30" s="1" t="s">
        <v>17</v>
      </c>
      <c r="AX30" s="1" t="s">
        <v>18</v>
      </c>
      <c r="AY30" s="1" t="s">
        <v>19</v>
      </c>
      <c r="AZ30" s="1"/>
      <c r="BA30" s="1"/>
      <c r="BB30" s="1"/>
      <c r="BC30" s="1"/>
    </row>
    <row r="31" spans="1:73" ht="19.5" customHeight="1">
      <c r="A31" s="5"/>
      <c r="B31" s="155" t="str">
        <f>+A32</f>
        <v>串崎スワローズ</v>
      </c>
      <c r="C31" s="156"/>
      <c r="D31" s="156"/>
      <c r="E31" s="157"/>
      <c r="F31" s="155" t="str">
        <f>+A33</f>
        <v>常盤平ボーイズ</v>
      </c>
      <c r="G31" s="156"/>
      <c r="H31" s="156"/>
      <c r="I31" s="157"/>
      <c r="J31" s="155" t="str">
        <f>+A34</f>
        <v>ヤングスターズ</v>
      </c>
      <c r="K31" s="156"/>
      <c r="L31" s="156"/>
      <c r="M31" s="157"/>
      <c r="N31" s="155" t="str">
        <f>+A35</f>
        <v>吉川ドリームズ</v>
      </c>
      <c r="O31" s="156"/>
      <c r="P31" s="156"/>
      <c r="Q31" s="157"/>
      <c r="R31" s="155" t="str">
        <f>+A36</f>
        <v>清水口ファイターズ</v>
      </c>
      <c r="S31" s="156"/>
      <c r="T31" s="156"/>
      <c r="U31" s="157"/>
      <c r="V31" s="155" t="str">
        <f>+A37</f>
        <v>沼南フラワーズ</v>
      </c>
      <c r="W31" s="156"/>
      <c r="X31" s="156"/>
      <c r="Y31" s="157"/>
      <c r="Z31" s="155" t="str">
        <f>+A38</f>
        <v>リトルイーグルス</v>
      </c>
      <c r="AA31" s="156"/>
      <c r="AB31" s="156"/>
      <c r="AC31" s="157"/>
      <c r="AD31" s="155">
        <f>+A39</f>
        <v>0</v>
      </c>
      <c r="AE31" s="156"/>
      <c r="AF31" s="156"/>
      <c r="AG31" s="157"/>
      <c r="AH31" s="155">
        <f>+A40</f>
        <v>0</v>
      </c>
      <c r="AI31" s="156"/>
      <c r="AJ31" s="156"/>
      <c r="AK31" s="157"/>
      <c r="AL31" s="155">
        <f>+A41</f>
        <v>0</v>
      </c>
      <c r="AM31" s="156"/>
      <c r="AN31" s="156"/>
      <c r="AO31" s="157"/>
      <c r="AP31" s="152"/>
      <c r="AQ31" s="152"/>
      <c r="AR31" s="152"/>
      <c r="AS31" s="152"/>
      <c r="AT31" s="32" t="s">
        <v>7</v>
      </c>
      <c r="AU31" s="32" t="s">
        <v>8</v>
      </c>
      <c r="AV31" s="32" t="s">
        <v>9</v>
      </c>
      <c r="AW31" s="33" t="s">
        <v>14</v>
      </c>
      <c r="AX31" s="34" t="s">
        <v>15</v>
      </c>
      <c r="AY31" s="35" t="s">
        <v>16</v>
      </c>
      <c r="AZ31" s="36" t="s">
        <v>10</v>
      </c>
      <c r="BA31" s="32" t="s">
        <v>11</v>
      </c>
      <c r="BB31" s="32" t="s">
        <v>12</v>
      </c>
      <c r="BC31" s="32" t="s">
        <v>13</v>
      </c>
      <c r="BF31" s="48"/>
      <c r="BG31" s="48" t="s">
        <v>21</v>
      </c>
      <c r="BH31" s="48" t="s">
        <v>22</v>
      </c>
      <c r="BI31" s="48"/>
      <c r="BJ31" s="48"/>
      <c r="BK31" s="48"/>
      <c r="BL31" s="48"/>
      <c r="BT31" s="3" t="s">
        <v>21</v>
      </c>
      <c r="BU31" s="3" t="s">
        <v>23</v>
      </c>
    </row>
    <row r="32" spans="1:76" ht="19.5" customHeight="1">
      <c r="A32" s="107" t="s">
        <v>117</v>
      </c>
      <c r="B32" s="43"/>
      <c r="C32" s="44"/>
      <c r="D32" s="44"/>
      <c r="E32" s="45"/>
      <c r="F32" s="43"/>
      <c r="G32" s="44">
        <f>IF(E33="","",E33)</f>
        <v>0</v>
      </c>
      <c r="H32" s="44"/>
      <c r="I32" s="45">
        <f>IF(C33="","",C33)</f>
        <v>22</v>
      </c>
      <c r="J32" s="43"/>
      <c r="K32" s="44">
        <f>IF(E34="","",E34)</f>
        <v>0</v>
      </c>
      <c r="L32" s="44"/>
      <c r="M32" s="45">
        <f>IF(C34="","",C34)</f>
        <v>16</v>
      </c>
      <c r="N32" s="43"/>
      <c r="O32" s="44">
        <f>IF(E35="","",E35)</f>
        <v>4</v>
      </c>
      <c r="P32" s="44"/>
      <c r="Q32" s="45">
        <f>IF(C35="","",C35)</f>
        <v>14</v>
      </c>
      <c r="R32" s="43"/>
      <c r="S32" s="44">
        <f>IF(E36="","",E36)</f>
        <v>1</v>
      </c>
      <c r="T32" s="44"/>
      <c r="U32" s="45">
        <f>IF(C36="","",C36)</f>
        <v>12</v>
      </c>
      <c r="V32" s="43"/>
      <c r="W32" s="44">
        <f>IF(E37="","",E37)</f>
        <v>0</v>
      </c>
      <c r="X32" s="44"/>
      <c r="Y32" s="45">
        <f>IF(C37="","",C37)</f>
        <v>15</v>
      </c>
      <c r="Z32" s="43"/>
      <c r="AA32" s="44">
        <f>IF(E38="","",E38)</f>
        <v>0</v>
      </c>
      <c r="AB32" s="44"/>
      <c r="AC32" s="45">
        <f>IF(C38="","",C38)</f>
        <v>15</v>
      </c>
      <c r="AD32" s="43"/>
      <c r="AE32" s="44">
        <f>IF(E39="","",E39)</f>
      </c>
      <c r="AF32" s="44"/>
      <c r="AG32" s="45">
        <f>IF(C39="","",C39)</f>
      </c>
      <c r="AH32" s="43"/>
      <c r="AI32" s="44">
        <f>IF(E40="","",E40)</f>
      </c>
      <c r="AJ32" s="44"/>
      <c r="AK32" s="45">
        <f>IF(C40="","",C40)</f>
      </c>
      <c r="AL32" s="43"/>
      <c r="AM32" s="44">
        <f>IF(E41="","",E41)</f>
      </c>
      <c r="AN32" s="44"/>
      <c r="AO32" s="45">
        <f>IF(C41="","",C41)</f>
      </c>
      <c r="AP32" s="43"/>
      <c r="AQ32" s="44">
        <f>IF(E42="","",E42)</f>
      </c>
      <c r="AR32" s="44"/>
      <c r="AS32" s="45">
        <f>IF(C42="","",C42)</f>
      </c>
      <c r="AT32" s="47">
        <f>IF(C32&gt;E32,1,0)+IF(G32&gt;I32,1,0)+IF(K32&gt;M32,1,0)+IF(O32&gt;Q32,1,0)+IF(S32&gt;U32,1,0)+IF(W32&gt;Y32,1,0)+IF(AA32&gt;AC32,1,0)+IF(AE32&gt;AG32,1,0)+IF(AM32&gt;AO32,1,0)+IF(AQ32&gt;AS32,1,0)+IF(AI32&gt;AK32,1,0)</f>
        <v>0</v>
      </c>
      <c r="AU32" s="37">
        <f>IF(C32&lt;E32,1,0)+IF(G32&lt;I32,1,0)+IF(K32&lt;M32,1,0)+IF(O32&lt;Q32,1,0)+IF(S32&lt;U32,1,0)+IF(W32&lt;Y32,1,0)+IF(AA32&lt;AC32,1,0)+IF(AE32&lt;AG32,1,0)+IF(AM32&lt;AO32,1,0)+IF(AQ32&lt;AS32,1,0)+IF(AI32&lt;AK32,1,0)</f>
        <v>6</v>
      </c>
      <c r="AV32" s="37">
        <f>IF(AND(ISNUMBER(C32),C32=E32),1,0)+IF(AND(ISNUMBER(G32),G32=I32),1,0)+IF(AND(ISNUMBER(K32),K32=M32),1,)+IF(AND(ISNUMBER(O32),O32=Q32),1,0)+IF(AND(ISNUMBER(S32),S32=U32),1,0)+IF(AND(ISNUMBER(W32),W32=Y32),1,0)+IF(AND(ISNUMBER(AA32),AA32=AC32),1,0)+IF(AND(ISNUMBER(AE32),AE32=AG32),1,0)+IF(AND(ISNUMBER(AM32),AM32=AO32),1,0)+IF(AND(ISNUMBER(AQ32),AQ32=AS32),1,0)+IF(AND(ISNUMBER(AI32),AI32=AK32),1,0)</f>
        <v>0</v>
      </c>
      <c r="AW32" s="38">
        <f>AT32*2</f>
        <v>0</v>
      </c>
      <c r="AX32" s="39">
        <f>AU32*0</f>
        <v>0</v>
      </c>
      <c r="AY32" s="40">
        <f>AV32*1</f>
        <v>0</v>
      </c>
      <c r="AZ32" s="41">
        <f>AW32+AX32+AY32</f>
        <v>0</v>
      </c>
      <c r="BA32" s="37">
        <f>IF(ISNUMBER(G32),G32,0)+IF(ISNUMBER(K32),K32,0)+IF(ISNUMBER(O32),O32,0)+IF(ISNUMBER(AA32),AA32,0)+IF(ISNUMBER(AE32),AE32,0)+IF(ISNUMBER(AM32),AM32,0)+IF(ISNUMBER(S32),S32,0)+IF(ISNUMBER(W32),W32,0)+IF(ISNUMBER(C32),C32,0)+IF(ISNUMBER(AQ32),AQ32,0)+IF(ISNUMBER(AI32),AI32,0)</f>
        <v>5</v>
      </c>
      <c r="BB32" s="37">
        <f>IF(ISNUMBER(I32),I32,0)+IF(ISNUMBER(M32),M32,0)+IF(ISNUMBER(Q32),Q32,0)+IF(ISNUMBER(AC32),AC32,0)+IF(ISNUMBER(AG32),AG32,0)+IF(ISNUMBER(AO32),AO32,0)+IF(ISNUMBER(U32),U32,0)+IF(ISNUMBER(Y32),Y32,0)+IF(ISNUMBER(E32),E32,0)+IF(ISNUMBER(AS32),AS32,0)+IF(ISNUMBER(AK32),AK32,0)</f>
        <v>94</v>
      </c>
      <c r="BC32" s="37">
        <f aca="true" t="shared" si="50" ref="BC32:BC38">BA32-BB32</f>
        <v>-89</v>
      </c>
      <c r="BF32" s="49">
        <f>BK32+COUNTIF(BK$31:BK31,BK32)</f>
        <v>7</v>
      </c>
      <c r="BG32" s="51" t="str">
        <f>+A32</f>
        <v>串崎スワローズ</v>
      </c>
      <c r="BH32" s="49">
        <f>+AZ32</f>
        <v>0</v>
      </c>
      <c r="BI32" s="49">
        <f>+AT32</f>
        <v>0</v>
      </c>
      <c r="BJ32" s="49">
        <f>+AT32+AU32+AV32</f>
        <v>6</v>
      </c>
      <c r="BK32" s="49">
        <f>RANK(BH32,BH$32:BH$38)</f>
        <v>7</v>
      </c>
      <c r="BL32" s="50">
        <f>VLOOKUP(ROW(BF1),$BF$32:$BK$38,6,FALSE)</f>
        <v>1</v>
      </c>
      <c r="BM32" s="52" t="str">
        <f>VLOOKUP(ROW(BF1),$BF$32:$BK$38,2,FALSE)</f>
        <v>常盤平ボーイズ</v>
      </c>
      <c r="BN32" s="52">
        <f>VLOOKUP(ROW(BF1),$BF$32:$BK$38,3,FALSE)</f>
        <v>9</v>
      </c>
      <c r="BO32" s="52">
        <f>VLOOKUP(ROW(BF1),$BF$32:$BK$38,4,FALSE)</f>
        <v>4</v>
      </c>
      <c r="BP32" s="52">
        <f>VLOOKUP(ROW(BF1),$BF$32:$BK$38,5,FALSE)</f>
        <v>6</v>
      </c>
      <c r="BQ32" s="62"/>
      <c r="BS32" s="49">
        <f>BV32+COUNTIF(BV$31:BV31,BV32)</f>
        <v>1</v>
      </c>
      <c r="BT32" s="51" t="str">
        <f>+BG32</f>
        <v>串崎スワローズ</v>
      </c>
      <c r="BU32" s="49">
        <f>COUNT(B32:AS32)/2</f>
        <v>6</v>
      </c>
      <c r="BV32" s="49">
        <f>RANK(BU32,BU$32:BU$38)</f>
        <v>1</v>
      </c>
      <c r="BW32" s="50">
        <f>VLOOKUP(ROW(BS1),$BS$32:$BV$38,4,FALSE)</f>
        <v>1</v>
      </c>
      <c r="BX32" s="52" t="str">
        <f>VLOOKUP(ROW(BT1),$BS$32:$BV$38,2,FALSE)</f>
        <v>串崎スワローズ</v>
      </c>
    </row>
    <row r="33" spans="1:76" ht="19.5" customHeight="1">
      <c r="A33" s="107" t="s">
        <v>89</v>
      </c>
      <c r="B33" s="43"/>
      <c r="C33" s="44">
        <v>22</v>
      </c>
      <c r="D33" s="44"/>
      <c r="E33" s="45">
        <v>0</v>
      </c>
      <c r="F33" s="43"/>
      <c r="G33" s="44"/>
      <c r="H33" s="44"/>
      <c r="I33" s="45"/>
      <c r="J33" s="43"/>
      <c r="K33" s="44">
        <f>IF(I34="","",I34)</f>
        <v>16</v>
      </c>
      <c r="L33" s="44"/>
      <c r="M33" s="45">
        <f>IF(G34="","",G34)</f>
        <v>3</v>
      </c>
      <c r="N33" s="43"/>
      <c r="O33" s="44">
        <f>IF(I35="","",I35)</f>
        <v>16</v>
      </c>
      <c r="P33" s="44"/>
      <c r="Q33" s="45">
        <f>IF(G35="","",G35)</f>
        <v>3</v>
      </c>
      <c r="R33" s="43"/>
      <c r="S33" s="44">
        <f>IF(I36="","",I36)</f>
        <v>5</v>
      </c>
      <c r="T33" s="44"/>
      <c r="U33" s="45">
        <f>IF(G36="","",G36)</f>
        <v>5</v>
      </c>
      <c r="V33" s="43"/>
      <c r="W33" s="44">
        <f>IF(I37="","",I37)</f>
        <v>4</v>
      </c>
      <c r="X33" s="44"/>
      <c r="Y33" s="45">
        <f>IF(G37="","",G37)</f>
        <v>5</v>
      </c>
      <c r="Z33" s="43"/>
      <c r="AA33" s="44">
        <f>IF(I38="","",I38)</f>
        <v>7</v>
      </c>
      <c r="AB33" s="44"/>
      <c r="AC33" s="45">
        <f>IF(G38="","",G38)</f>
        <v>1</v>
      </c>
      <c r="AD33" s="43"/>
      <c r="AE33" s="44">
        <f>IF(I39="","",I39)</f>
      </c>
      <c r="AF33" s="44"/>
      <c r="AG33" s="45">
        <f>IF(G39="","",G39)</f>
      </c>
      <c r="AH33" s="43"/>
      <c r="AI33" s="44">
        <f>IF(I40="","",I40)</f>
      </c>
      <c r="AJ33" s="44"/>
      <c r="AK33" s="45">
        <f>IF(G40="","",G40)</f>
      </c>
      <c r="AL33" s="43"/>
      <c r="AM33" s="44">
        <f>IF(I41="","",I41)</f>
      </c>
      <c r="AN33" s="44"/>
      <c r="AO33" s="45">
        <f>IF(G41="","",G41)</f>
      </c>
      <c r="AP33" s="43"/>
      <c r="AQ33" s="44">
        <f>IF(I42="","",I42)</f>
      </c>
      <c r="AR33" s="44"/>
      <c r="AS33" s="45">
        <f>IF(G42="","",G42)</f>
      </c>
      <c r="AT33" s="47">
        <f aca="true" t="shared" si="51" ref="AT33:AT38">IF(C33&gt;E33,1,0)+IF(G33&gt;I33,1,0)+IF(K33&gt;M33,1,0)+IF(O33&gt;Q33,1,0)+IF(S33&gt;U33,1,0)+IF(W33&gt;Y33,1,0)+IF(AA33&gt;AC33,1,0)+IF(AE33&gt;AG33,1,0)+IF(AM33&gt;AO33,1,0)+IF(AQ33&gt;AS33,1,0)+IF(AI33&gt;AK33,1,0)</f>
        <v>4</v>
      </c>
      <c r="AU33" s="37">
        <f aca="true" t="shared" si="52" ref="AU33:AU38">IF(C33&lt;E33,1,0)+IF(G33&lt;I33,1,0)+IF(K33&lt;M33,1,0)+IF(O33&lt;Q33,1,0)+IF(S33&lt;U33,1,0)+IF(W33&lt;Y33,1,0)+IF(AA33&lt;AC33,1,0)+IF(AE33&lt;AG33,1,0)+IF(AM33&lt;AO33,1,0)+IF(AQ33&lt;AS33,1,0)+IF(AI33&lt;AK33,1,0)</f>
        <v>1</v>
      </c>
      <c r="AV33" s="37">
        <f aca="true" t="shared" si="53" ref="AV33:AV38">IF(AND(ISNUMBER(C33),C33=E33),1,0)+IF(AND(ISNUMBER(G33),G33=I33),1,0)+IF(AND(ISNUMBER(K33),K33=M33),1,)+IF(AND(ISNUMBER(O33),O33=Q33),1,0)+IF(AND(ISNUMBER(S33),S33=U33),1,0)+IF(AND(ISNUMBER(W33),W33=Y33),1,0)+IF(AND(ISNUMBER(AA33),AA33=AC33),1,0)+IF(AND(ISNUMBER(AE33),AE33=AG33),1,0)+IF(AND(ISNUMBER(AM33),AM33=AO33),1,0)+IF(AND(ISNUMBER(AQ33),AQ33=AS33),1,0)+IF(AND(ISNUMBER(AI33),AI33=AK33),1,0)</f>
        <v>1</v>
      </c>
      <c r="AW33" s="38">
        <f aca="true" t="shared" si="54" ref="AW33:AW38">AT33*2</f>
        <v>8</v>
      </c>
      <c r="AX33" s="39">
        <f aca="true" t="shared" si="55" ref="AX33:AX38">AU33*0</f>
        <v>0</v>
      </c>
      <c r="AY33" s="40">
        <f aca="true" t="shared" si="56" ref="AY33:AY38">AV33*1</f>
        <v>1</v>
      </c>
      <c r="AZ33" s="41">
        <f aca="true" t="shared" si="57" ref="AZ33:AZ38">AW33+AX33+AY33</f>
        <v>9</v>
      </c>
      <c r="BA33" s="37">
        <f aca="true" t="shared" si="58" ref="BA33:BA38">IF(ISNUMBER(G33),G33,0)+IF(ISNUMBER(K33),K33,0)+IF(ISNUMBER(O33),O33,0)+IF(ISNUMBER(AA33),AA33,0)+IF(ISNUMBER(AE33),AE33,0)+IF(ISNUMBER(AM33),AM33,0)+IF(ISNUMBER(S33),S33,0)+IF(ISNUMBER(W33),W33,0)+IF(ISNUMBER(C33),C33,0)+IF(ISNUMBER(AQ33),AQ33,0)+IF(ISNUMBER(AI33),AI33,0)</f>
        <v>70</v>
      </c>
      <c r="BB33" s="37">
        <f aca="true" t="shared" si="59" ref="BB33:BB38">IF(ISNUMBER(I33),I33,0)+IF(ISNUMBER(M33),M33,0)+IF(ISNUMBER(Q33),Q33,0)+IF(ISNUMBER(AC33),AC33,0)+IF(ISNUMBER(AG33),AG33,0)+IF(ISNUMBER(AO33),AO33,0)+IF(ISNUMBER(U33),U33,0)+IF(ISNUMBER(Y33),Y33,0)+IF(ISNUMBER(E33),E33,0)+IF(ISNUMBER(AS33),AS33,0)+IF(ISNUMBER(AK33),AK33,0)</f>
        <v>17</v>
      </c>
      <c r="BC33" s="37">
        <f t="shared" si="50"/>
        <v>53</v>
      </c>
      <c r="BF33" s="49">
        <f>BK33+COUNTIF(BK$31:BK32,BK33)</f>
        <v>1</v>
      </c>
      <c r="BG33" s="51" t="str">
        <f aca="true" t="shared" si="60" ref="BG33:BG38">+A33</f>
        <v>常盤平ボーイズ</v>
      </c>
      <c r="BH33" s="49">
        <f aca="true" t="shared" si="61" ref="BH33:BH38">+AZ33</f>
        <v>9</v>
      </c>
      <c r="BI33" s="49">
        <f aca="true" t="shared" si="62" ref="BI33:BI38">+AT33</f>
        <v>4</v>
      </c>
      <c r="BJ33" s="49">
        <f aca="true" t="shared" si="63" ref="BJ33:BJ38">+AT33+AU33+AV33</f>
        <v>6</v>
      </c>
      <c r="BK33" s="49">
        <f aca="true" t="shared" si="64" ref="BK33:BK38">RANK(BH33,BH$32:BH$38)</f>
        <v>1</v>
      </c>
      <c r="BL33" s="50">
        <f aca="true" t="shared" si="65" ref="BL33:BL38">VLOOKUP(ROW(BF2),$BF$32:$BK$38,6,FALSE)</f>
        <v>1</v>
      </c>
      <c r="BM33" s="52" t="str">
        <f aca="true" t="shared" si="66" ref="BM33:BM38">VLOOKUP(ROW(BF2),$BF$32:$BK$38,2,FALSE)</f>
        <v>沼南フラワーズ</v>
      </c>
      <c r="BN33" s="52">
        <f aca="true" t="shared" si="67" ref="BN33:BN38">VLOOKUP(ROW(BF2),$BF$32:$BK$38,3,FALSE)</f>
        <v>9</v>
      </c>
      <c r="BO33" s="52">
        <f aca="true" t="shared" si="68" ref="BO33:BO38">VLOOKUP(ROW(BF2),$BF$32:$BK$38,4,FALSE)</f>
        <v>4</v>
      </c>
      <c r="BP33" s="52">
        <f aca="true" t="shared" si="69" ref="BP33:BP38">VLOOKUP(ROW(BF2),$BF$32:$BK$38,5,FALSE)</f>
        <v>6</v>
      </c>
      <c r="BQ33" s="62"/>
      <c r="BS33" s="49">
        <f>BV33+COUNTIF(BV$31:BV32,BV33)</f>
        <v>2</v>
      </c>
      <c r="BT33" s="51" t="str">
        <f aca="true" t="shared" si="70" ref="BT33:BT38">+BG33</f>
        <v>常盤平ボーイズ</v>
      </c>
      <c r="BU33" s="49">
        <f aca="true" t="shared" si="71" ref="BU33:BU38">COUNT(B33:AS33)/2</f>
        <v>6</v>
      </c>
      <c r="BV33" s="49">
        <f aca="true" t="shared" si="72" ref="BV33:BV38">RANK(BU33,BU$32:BU$38)</f>
        <v>1</v>
      </c>
      <c r="BW33" s="50">
        <f aca="true" t="shared" si="73" ref="BW33:BW38">VLOOKUP(ROW(BS2),$BS$32:$BV$38,4,FALSE)</f>
        <v>1</v>
      </c>
      <c r="BX33" s="52" t="str">
        <f aca="true" t="shared" si="74" ref="BX33:BX38">VLOOKUP(ROW(BT2),$BS$32:$BV$38,2,FALSE)</f>
        <v>常盤平ボーイズ</v>
      </c>
    </row>
    <row r="34" spans="1:76" ht="19.5" customHeight="1">
      <c r="A34" s="107" t="s">
        <v>97</v>
      </c>
      <c r="B34" s="43"/>
      <c r="C34" s="44">
        <v>16</v>
      </c>
      <c r="D34" s="44"/>
      <c r="E34" s="45">
        <v>0</v>
      </c>
      <c r="F34" s="43"/>
      <c r="G34" s="44">
        <v>3</v>
      </c>
      <c r="H34" s="44"/>
      <c r="I34" s="45">
        <v>16</v>
      </c>
      <c r="J34" s="43"/>
      <c r="K34" s="44"/>
      <c r="L34" s="44"/>
      <c r="M34" s="45"/>
      <c r="N34" s="43"/>
      <c r="O34" s="44">
        <f>IF(M35="","",M35)</f>
        <v>4</v>
      </c>
      <c r="P34" s="44"/>
      <c r="Q34" s="45">
        <f>IF(K35="","",K35)</f>
        <v>4</v>
      </c>
      <c r="R34" s="43"/>
      <c r="S34" s="44">
        <f>IF(M36="","",M36)</f>
        <v>6</v>
      </c>
      <c r="T34" s="44"/>
      <c r="U34" s="45">
        <f>IF(K36="","",K36)</f>
        <v>7</v>
      </c>
      <c r="V34" s="43"/>
      <c r="W34" s="44">
        <f>IF(M37="","",M37)</f>
        <v>3</v>
      </c>
      <c r="X34" s="44"/>
      <c r="Y34" s="45">
        <f>IF(K37="","",K37)</f>
        <v>8</v>
      </c>
      <c r="Z34" s="43"/>
      <c r="AA34" s="44">
        <f>IF(M38="","",M38)</f>
        <v>1</v>
      </c>
      <c r="AB34" s="44"/>
      <c r="AC34" s="45">
        <f>IF(K38="","",K38)</f>
        <v>23</v>
      </c>
      <c r="AD34" s="43"/>
      <c r="AE34" s="44">
        <f>IF(M39="","",M39)</f>
      </c>
      <c r="AF34" s="44"/>
      <c r="AG34" s="45">
        <f>IF(K39="","",K39)</f>
      </c>
      <c r="AH34" s="43"/>
      <c r="AI34" s="44">
        <f>IF(M40="","",M40)</f>
      </c>
      <c r="AJ34" s="44"/>
      <c r="AK34" s="45">
        <f>IF(K40="","",K40)</f>
      </c>
      <c r="AL34" s="43"/>
      <c r="AM34" s="44">
        <f>IF(M41="","",M41)</f>
      </c>
      <c r="AN34" s="44"/>
      <c r="AO34" s="45">
        <f>IF(K41="","",K41)</f>
      </c>
      <c r="AP34" s="43"/>
      <c r="AQ34" s="44">
        <f>IF(M42="","",M42)</f>
      </c>
      <c r="AR34" s="44"/>
      <c r="AS34" s="45">
        <f>IF(K42="","",K42)</f>
      </c>
      <c r="AT34" s="47">
        <f t="shared" si="51"/>
        <v>1</v>
      </c>
      <c r="AU34" s="37">
        <f t="shared" si="52"/>
        <v>4</v>
      </c>
      <c r="AV34" s="37">
        <f t="shared" si="53"/>
        <v>1</v>
      </c>
      <c r="AW34" s="38">
        <f t="shared" si="54"/>
        <v>2</v>
      </c>
      <c r="AX34" s="39">
        <f t="shared" si="55"/>
        <v>0</v>
      </c>
      <c r="AY34" s="40">
        <f t="shared" si="56"/>
        <v>1</v>
      </c>
      <c r="AZ34" s="41">
        <f t="shared" si="57"/>
        <v>3</v>
      </c>
      <c r="BA34" s="37">
        <f t="shared" si="58"/>
        <v>33</v>
      </c>
      <c r="BB34" s="37">
        <f t="shared" si="59"/>
        <v>58</v>
      </c>
      <c r="BC34" s="37">
        <f t="shared" si="50"/>
        <v>-25</v>
      </c>
      <c r="BF34" s="49">
        <f>BK34+COUNTIF(BK$31:BK33,BK34)</f>
        <v>6</v>
      </c>
      <c r="BG34" s="51" t="str">
        <f t="shared" si="60"/>
        <v>ヤングスターズ</v>
      </c>
      <c r="BH34" s="49">
        <f t="shared" si="61"/>
        <v>3</v>
      </c>
      <c r="BI34" s="49">
        <f t="shared" si="62"/>
        <v>1</v>
      </c>
      <c r="BJ34" s="49">
        <f t="shared" si="63"/>
        <v>6</v>
      </c>
      <c r="BK34" s="49">
        <f t="shared" si="64"/>
        <v>6</v>
      </c>
      <c r="BL34" s="50">
        <f t="shared" si="65"/>
        <v>3</v>
      </c>
      <c r="BM34" s="52" t="str">
        <f t="shared" si="66"/>
        <v>清水口ファイターズ</v>
      </c>
      <c r="BN34" s="52">
        <f t="shared" si="67"/>
        <v>8</v>
      </c>
      <c r="BO34" s="52">
        <f t="shared" si="68"/>
        <v>3</v>
      </c>
      <c r="BP34" s="52">
        <f t="shared" si="69"/>
        <v>6</v>
      </c>
      <c r="BQ34" s="62"/>
      <c r="BS34" s="49">
        <f>BV34+COUNTIF(BV$31:BV33,BV34)</f>
        <v>3</v>
      </c>
      <c r="BT34" s="51" t="str">
        <f t="shared" si="70"/>
        <v>ヤングスターズ</v>
      </c>
      <c r="BU34" s="49">
        <f t="shared" si="71"/>
        <v>6</v>
      </c>
      <c r="BV34" s="49">
        <f t="shared" si="72"/>
        <v>1</v>
      </c>
      <c r="BW34" s="50">
        <f t="shared" si="73"/>
        <v>1</v>
      </c>
      <c r="BX34" s="52" t="str">
        <f t="shared" si="74"/>
        <v>ヤングスターズ</v>
      </c>
    </row>
    <row r="35" spans="1:76" ht="19.5" customHeight="1">
      <c r="A35" s="107" t="s">
        <v>125</v>
      </c>
      <c r="B35" s="43"/>
      <c r="C35" s="44">
        <v>14</v>
      </c>
      <c r="D35" s="44"/>
      <c r="E35" s="45">
        <v>4</v>
      </c>
      <c r="F35" s="43"/>
      <c r="G35" s="44">
        <v>3</v>
      </c>
      <c r="H35" s="44"/>
      <c r="I35" s="45">
        <v>16</v>
      </c>
      <c r="J35" s="43"/>
      <c r="K35" s="44">
        <v>4</v>
      </c>
      <c r="L35" s="44"/>
      <c r="M35" s="45">
        <v>4</v>
      </c>
      <c r="N35" s="43"/>
      <c r="O35" s="44"/>
      <c r="P35" s="44"/>
      <c r="Q35" s="45"/>
      <c r="R35" s="43"/>
      <c r="S35" s="44">
        <f>IF(Q36="","",Q36)</f>
        <v>1</v>
      </c>
      <c r="T35" s="44"/>
      <c r="U35" s="45">
        <f>IF(O36="","",O36)</f>
        <v>9</v>
      </c>
      <c r="V35" s="43"/>
      <c r="W35" s="44">
        <f>IF(Q37="","",Q37)</f>
        <v>6</v>
      </c>
      <c r="X35" s="44"/>
      <c r="Y35" s="45">
        <f>IF(O37="","",O37)</f>
        <v>5</v>
      </c>
      <c r="Z35" s="43"/>
      <c r="AA35" s="44">
        <f>IF(Q38="","",Q38)</f>
        <v>1</v>
      </c>
      <c r="AB35" s="44"/>
      <c r="AC35" s="45">
        <f>IF(O38="","",O38)</f>
        <v>15</v>
      </c>
      <c r="AD35" s="43"/>
      <c r="AE35" s="44">
        <f>IF(Q39="","",Q39)</f>
      </c>
      <c r="AF35" s="44"/>
      <c r="AG35" s="45">
        <f>IF(O39="","",O39)</f>
      </c>
      <c r="AH35" s="43"/>
      <c r="AI35" s="44">
        <f>IF(Q40="","",Q40)</f>
      </c>
      <c r="AJ35" s="44"/>
      <c r="AK35" s="45">
        <f>IF(O40="","",O40)</f>
      </c>
      <c r="AL35" s="43"/>
      <c r="AM35" s="44">
        <f>IF(Q41="","",Q41)</f>
      </c>
      <c r="AN35" s="44"/>
      <c r="AO35" s="45">
        <f>IF(O41="","",O41)</f>
      </c>
      <c r="AP35" s="43"/>
      <c r="AQ35" s="44">
        <f>IF(Q42="","",Q42)</f>
      </c>
      <c r="AR35" s="44"/>
      <c r="AS35" s="45">
        <f>IF(O42="","",O42)</f>
      </c>
      <c r="AT35" s="47">
        <f t="shared" si="51"/>
        <v>2</v>
      </c>
      <c r="AU35" s="37">
        <f t="shared" si="52"/>
        <v>3</v>
      </c>
      <c r="AV35" s="37">
        <f t="shared" si="53"/>
        <v>1</v>
      </c>
      <c r="AW35" s="38">
        <f t="shared" si="54"/>
        <v>4</v>
      </c>
      <c r="AX35" s="39">
        <f t="shared" si="55"/>
        <v>0</v>
      </c>
      <c r="AY35" s="40">
        <f t="shared" si="56"/>
        <v>1</v>
      </c>
      <c r="AZ35" s="41">
        <f t="shared" si="57"/>
        <v>5</v>
      </c>
      <c r="BA35" s="37">
        <f t="shared" si="58"/>
        <v>29</v>
      </c>
      <c r="BB35" s="37">
        <f t="shared" si="59"/>
        <v>53</v>
      </c>
      <c r="BC35" s="37">
        <f t="shared" si="50"/>
        <v>-24</v>
      </c>
      <c r="BF35" s="49">
        <f>BK35+COUNTIF(BK$31:BK34,BK35)</f>
        <v>5</v>
      </c>
      <c r="BG35" s="51" t="str">
        <f t="shared" si="60"/>
        <v>吉川ドリームズ</v>
      </c>
      <c r="BH35" s="49">
        <f t="shared" si="61"/>
        <v>5</v>
      </c>
      <c r="BI35" s="49">
        <f t="shared" si="62"/>
        <v>2</v>
      </c>
      <c r="BJ35" s="49">
        <f t="shared" si="63"/>
        <v>6</v>
      </c>
      <c r="BK35" s="49">
        <f t="shared" si="64"/>
        <v>5</v>
      </c>
      <c r="BL35" s="50">
        <f t="shared" si="65"/>
        <v>3</v>
      </c>
      <c r="BM35" s="52" t="str">
        <f t="shared" si="66"/>
        <v>リトルイーグルス</v>
      </c>
      <c r="BN35" s="52">
        <f t="shared" si="67"/>
        <v>8</v>
      </c>
      <c r="BO35" s="52">
        <f t="shared" si="68"/>
        <v>4</v>
      </c>
      <c r="BP35" s="52">
        <f t="shared" si="69"/>
        <v>6</v>
      </c>
      <c r="BQ35" s="62"/>
      <c r="BS35" s="49">
        <f>BV35+COUNTIF(BV$31:BV34,BV35)</f>
        <v>4</v>
      </c>
      <c r="BT35" s="51" t="str">
        <f t="shared" si="70"/>
        <v>吉川ドリームズ</v>
      </c>
      <c r="BU35" s="49">
        <f t="shared" si="71"/>
        <v>6</v>
      </c>
      <c r="BV35" s="49">
        <f t="shared" si="72"/>
        <v>1</v>
      </c>
      <c r="BW35" s="50">
        <f t="shared" si="73"/>
        <v>1</v>
      </c>
      <c r="BX35" s="52" t="str">
        <f t="shared" si="74"/>
        <v>吉川ドリームズ</v>
      </c>
    </row>
    <row r="36" spans="1:76" ht="19.5" customHeight="1">
      <c r="A36" s="107" t="s">
        <v>91</v>
      </c>
      <c r="B36" s="43"/>
      <c r="C36" s="44">
        <v>12</v>
      </c>
      <c r="D36" s="44"/>
      <c r="E36" s="45">
        <v>1</v>
      </c>
      <c r="F36" s="43"/>
      <c r="G36" s="44">
        <v>5</v>
      </c>
      <c r="H36" s="44"/>
      <c r="I36" s="45">
        <v>5</v>
      </c>
      <c r="J36" s="43"/>
      <c r="K36" s="44">
        <v>7</v>
      </c>
      <c r="L36" s="44"/>
      <c r="M36" s="45">
        <v>6</v>
      </c>
      <c r="N36" s="43"/>
      <c r="O36" s="44">
        <v>9</v>
      </c>
      <c r="P36" s="44"/>
      <c r="Q36" s="45">
        <v>1</v>
      </c>
      <c r="R36" s="43"/>
      <c r="S36" s="44"/>
      <c r="T36" s="44"/>
      <c r="U36" s="45"/>
      <c r="V36" s="43"/>
      <c r="W36" s="44">
        <f>IF(U37="","",U37)</f>
        <v>3</v>
      </c>
      <c r="X36" s="44"/>
      <c r="Y36" s="45">
        <f>IF(S37="","",S37)</f>
        <v>3</v>
      </c>
      <c r="Z36" s="43"/>
      <c r="AA36" s="44">
        <f>IF(U38="","",U38)</f>
        <v>3</v>
      </c>
      <c r="AB36" s="44"/>
      <c r="AC36" s="45">
        <f>IF(S38="","",S38)</f>
        <v>7</v>
      </c>
      <c r="AD36" s="43"/>
      <c r="AE36" s="44">
        <f>IF(U39="","",U39)</f>
      </c>
      <c r="AF36" s="44"/>
      <c r="AG36" s="45">
        <f>IF(S39="","",S39)</f>
      </c>
      <c r="AH36" s="43"/>
      <c r="AI36" s="44">
        <f>IF(U40="","",U40)</f>
      </c>
      <c r="AJ36" s="44"/>
      <c r="AK36" s="45">
        <f>IF(S40="","",S40)</f>
      </c>
      <c r="AL36" s="43"/>
      <c r="AM36" s="44">
        <f>IF(U41="","",U41)</f>
      </c>
      <c r="AN36" s="44"/>
      <c r="AO36" s="45">
        <f>IF(S41="","",S41)</f>
      </c>
      <c r="AP36" s="43"/>
      <c r="AQ36" s="44">
        <f>IF(U42="","",U42)</f>
      </c>
      <c r="AR36" s="44"/>
      <c r="AS36" s="45">
        <f>IF(S42="","",S42)</f>
      </c>
      <c r="AT36" s="47">
        <f t="shared" si="51"/>
        <v>3</v>
      </c>
      <c r="AU36" s="37">
        <f t="shared" si="52"/>
        <v>1</v>
      </c>
      <c r="AV36" s="37">
        <f t="shared" si="53"/>
        <v>2</v>
      </c>
      <c r="AW36" s="38">
        <f t="shared" si="54"/>
        <v>6</v>
      </c>
      <c r="AX36" s="39">
        <f t="shared" si="55"/>
        <v>0</v>
      </c>
      <c r="AY36" s="40">
        <f t="shared" si="56"/>
        <v>2</v>
      </c>
      <c r="AZ36" s="41">
        <f t="shared" si="57"/>
        <v>8</v>
      </c>
      <c r="BA36" s="37">
        <f t="shared" si="58"/>
        <v>39</v>
      </c>
      <c r="BB36" s="37">
        <f t="shared" si="59"/>
        <v>23</v>
      </c>
      <c r="BC36" s="37">
        <f t="shared" si="50"/>
        <v>16</v>
      </c>
      <c r="BF36" s="49">
        <f>BK36+COUNTIF(BK$31:BK35,BK36)</f>
        <v>3</v>
      </c>
      <c r="BG36" s="51" t="str">
        <f t="shared" si="60"/>
        <v>清水口ファイターズ</v>
      </c>
      <c r="BH36" s="49">
        <f t="shared" si="61"/>
        <v>8</v>
      </c>
      <c r="BI36" s="49">
        <f t="shared" si="62"/>
        <v>3</v>
      </c>
      <c r="BJ36" s="49">
        <f t="shared" si="63"/>
        <v>6</v>
      </c>
      <c r="BK36" s="49">
        <f t="shared" si="64"/>
        <v>3</v>
      </c>
      <c r="BL36" s="50">
        <f t="shared" si="65"/>
        <v>5</v>
      </c>
      <c r="BM36" s="52" t="str">
        <f t="shared" si="66"/>
        <v>吉川ドリームズ</v>
      </c>
      <c r="BN36" s="52">
        <f t="shared" si="67"/>
        <v>5</v>
      </c>
      <c r="BO36" s="52">
        <f t="shared" si="68"/>
        <v>2</v>
      </c>
      <c r="BP36" s="52">
        <f t="shared" si="69"/>
        <v>6</v>
      </c>
      <c r="BQ36" s="62"/>
      <c r="BS36" s="49">
        <f>BV36+COUNTIF(BV$31:BV35,BV36)</f>
        <v>5</v>
      </c>
      <c r="BT36" s="51" t="str">
        <f t="shared" si="70"/>
        <v>清水口ファイターズ</v>
      </c>
      <c r="BU36" s="49">
        <f t="shared" si="71"/>
        <v>6</v>
      </c>
      <c r="BV36" s="49">
        <f t="shared" si="72"/>
        <v>1</v>
      </c>
      <c r="BW36" s="50">
        <f t="shared" si="73"/>
        <v>1</v>
      </c>
      <c r="BX36" s="52" t="str">
        <f t="shared" si="74"/>
        <v>清水口ファイターズ</v>
      </c>
    </row>
    <row r="37" spans="1:76" ht="19.5" customHeight="1">
      <c r="A37" s="107" t="s">
        <v>115</v>
      </c>
      <c r="B37" s="43"/>
      <c r="C37" s="44">
        <v>15</v>
      </c>
      <c r="D37" s="44"/>
      <c r="E37" s="45">
        <v>0</v>
      </c>
      <c r="F37" s="43"/>
      <c r="G37" s="44">
        <v>5</v>
      </c>
      <c r="H37" s="44"/>
      <c r="I37" s="45">
        <v>4</v>
      </c>
      <c r="J37" s="43"/>
      <c r="K37" s="44">
        <v>8</v>
      </c>
      <c r="L37" s="44"/>
      <c r="M37" s="45">
        <v>3</v>
      </c>
      <c r="N37" s="43"/>
      <c r="O37" s="44">
        <v>5</v>
      </c>
      <c r="P37" s="44"/>
      <c r="Q37" s="45">
        <v>6</v>
      </c>
      <c r="R37" s="43"/>
      <c r="S37" s="44">
        <v>3</v>
      </c>
      <c r="T37" s="44"/>
      <c r="U37" s="45">
        <v>3</v>
      </c>
      <c r="V37" s="43"/>
      <c r="W37" s="44"/>
      <c r="X37" s="44"/>
      <c r="Y37" s="45"/>
      <c r="Z37" s="43"/>
      <c r="AA37" s="44">
        <f>IF(Y38="","",Y38)</f>
        <v>6</v>
      </c>
      <c r="AB37" s="44"/>
      <c r="AC37" s="45">
        <f>IF(W38="","",W38)</f>
        <v>5</v>
      </c>
      <c r="AD37" s="43"/>
      <c r="AE37" s="44">
        <f>IF(Y39="","",Y39)</f>
      </c>
      <c r="AF37" s="44"/>
      <c r="AG37" s="45">
        <f>IF(W39="","",W39)</f>
      </c>
      <c r="AH37" s="43"/>
      <c r="AI37" s="44">
        <f>IF(Y40="","",Y40)</f>
      </c>
      <c r="AJ37" s="44"/>
      <c r="AK37" s="45">
        <f>IF(W40="","",W40)</f>
      </c>
      <c r="AL37" s="43"/>
      <c r="AM37" s="44">
        <f>IF(Y41="","",Y41)</f>
      </c>
      <c r="AN37" s="44"/>
      <c r="AO37" s="45">
        <f>IF(W41="","",W41)</f>
      </c>
      <c r="AP37" s="43"/>
      <c r="AQ37" s="44">
        <f>IF(Y42="","",Y42)</f>
      </c>
      <c r="AR37" s="44"/>
      <c r="AS37" s="45">
        <f>IF(W42="","",W42)</f>
      </c>
      <c r="AT37" s="47">
        <f t="shared" si="51"/>
        <v>4</v>
      </c>
      <c r="AU37" s="37">
        <f t="shared" si="52"/>
        <v>1</v>
      </c>
      <c r="AV37" s="37">
        <f t="shared" si="53"/>
        <v>1</v>
      </c>
      <c r="AW37" s="38">
        <f t="shared" si="54"/>
        <v>8</v>
      </c>
      <c r="AX37" s="39">
        <f t="shared" si="55"/>
        <v>0</v>
      </c>
      <c r="AY37" s="40">
        <f t="shared" si="56"/>
        <v>1</v>
      </c>
      <c r="AZ37" s="41">
        <f t="shared" si="57"/>
        <v>9</v>
      </c>
      <c r="BA37" s="37">
        <f t="shared" si="58"/>
        <v>42</v>
      </c>
      <c r="BB37" s="37">
        <f t="shared" si="59"/>
        <v>21</v>
      </c>
      <c r="BC37" s="37">
        <f t="shared" si="50"/>
        <v>21</v>
      </c>
      <c r="BF37" s="49">
        <f>BK37+COUNTIF(BK$31:BK36,BK37)</f>
        <v>2</v>
      </c>
      <c r="BG37" s="51" t="str">
        <f t="shared" si="60"/>
        <v>沼南フラワーズ</v>
      </c>
      <c r="BH37" s="49">
        <f t="shared" si="61"/>
        <v>9</v>
      </c>
      <c r="BI37" s="49">
        <f t="shared" si="62"/>
        <v>4</v>
      </c>
      <c r="BJ37" s="49">
        <f t="shared" si="63"/>
        <v>6</v>
      </c>
      <c r="BK37" s="49">
        <f t="shared" si="64"/>
        <v>1</v>
      </c>
      <c r="BL37" s="50">
        <f t="shared" si="65"/>
        <v>6</v>
      </c>
      <c r="BM37" s="52" t="str">
        <f t="shared" si="66"/>
        <v>ヤングスターズ</v>
      </c>
      <c r="BN37" s="52">
        <f t="shared" si="67"/>
        <v>3</v>
      </c>
      <c r="BO37" s="52">
        <f t="shared" si="68"/>
        <v>1</v>
      </c>
      <c r="BP37" s="52">
        <f t="shared" si="69"/>
        <v>6</v>
      </c>
      <c r="BQ37" s="62"/>
      <c r="BS37" s="49">
        <f>BV37+COUNTIF(BV$31:BV36,BV37)</f>
        <v>6</v>
      </c>
      <c r="BT37" s="51" t="str">
        <f t="shared" si="70"/>
        <v>沼南フラワーズ</v>
      </c>
      <c r="BU37" s="49">
        <f t="shared" si="71"/>
        <v>6</v>
      </c>
      <c r="BV37" s="49">
        <f t="shared" si="72"/>
        <v>1</v>
      </c>
      <c r="BW37" s="50">
        <f t="shared" si="73"/>
        <v>1</v>
      </c>
      <c r="BX37" s="52" t="str">
        <f t="shared" si="74"/>
        <v>沼南フラワーズ</v>
      </c>
    </row>
    <row r="38" spans="1:76" ht="19.5" customHeight="1">
      <c r="A38" s="107" t="s">
        <v>102</v>
      </c>
      <c r="B38" s="43"/>
      <c r="C38" s="44">
        <v>15</v>
      </c>
      <c r="D38" s="44"/>
      <c r="E38" s="45">
        <v>0</v>
      </c>
      <c r="F38" s="43"/>
      <c r="G38" s="44">
        <v>1</v>
      </c>
      <c r="H38" s="44"/>
      <c r="I38" s="45">
        <v>7</v>
      </c>
      <c r="J38" s="43"/>
      <c r="K38" s="44">
        <v>23</v>
      </c>
      <c r="L38" s="44"/>
      <c r="M38" s="45">
        <v>1</v>
      </c>
      <c r="N38" s="43"/>
      <c r="O38" s="44">
        <v>15</v>
      </c>
      <c r="P38" s="44"/>
      <c r="Q38" s="45">
        <v>1</v>
      </c>
      <c r="R38" s="43"/>
      <c r="S38" s="44">
        <v>7</v>
      </c>
      <c r="T38" s="44"/>
      <c r="U38" s="45">
        <v>3</v>
      </c>
      <c r="V38" s="43"/>
      <c r="W38" s="44">
        <v>5</v>
      </c>
      <c r="X38" s="44"/>
      <c r="Y38" s="45">
        <v>6</v>
      </c>
      <c r="Z38" s="43"/>
      <c r="AA38" s="44"/>
      <c r="AB38" s="44"/>
      <c r="AC38" s="45"/>
      <c r="AD38" s="43"/>
      <c r="AE38" s="44">
        <f>IF(AC39="","",AC39)</f>
      </c>
      <c r="AF38" s="44"/>
      <c r="AG38" s="45">
        <f>IF(AA39="","",AA39)</f>
      </c>
      <c r="AH38" s="43"/>
      <c r="AI38" s="44">
        <f>IF(AC40="","",AC40)</f>
      </c>
      <c r="AJ38" s="44"/>
      <c r="AK38" s="45">
        <f>IF(AA40="","",AA40)</f>
      </c>
      <c r="AL38" s="43"/>
      <c r="AM38" s="44">
        <f>IF(AC41="","",AC41)</f>
      </c>
      <c r="AN38" s="44"/>
      <c r="AO38" s="45">
        <f>IF(AA41="","",AA41)</f>
      </c>
      <c r="AP38" s="43"/>
      <c r="AQ38" s="44">
        <f>IF(AC42="","",AC42)</f>
      </c>
      <c r="AR38" s="44"/>
      <c r="AS38" s="45">
        <f>IF(AA42="","",AA42)</f>
      </c>
      <c r="AT38" s="47">
        <f t="shared" si="51"/>
        <v>4</v>
      </c>
      <c r="AU38" s="37">
        <f t="shared" si="52"/>
        <v>2</v>
      </c>
      <c r="AV38" s="37">
        <f t="shared" si="53"/>
        <v>0</v>
      </c>
      <c r="AW38" s="38">
        <f t="shared" si="54"/>
        <v>8</v>
      </c>
      <c r="AX38" s="39">
        <f t="shared" si="55"/>
        <v>0</v>
      </c>
      <c r="AY38" s="40">
        <f t="shared" si="56"/>
        <v>0</v>
      </c>
      <c r="AZ38" s="41">
        <f t="shared" si="57"/>
        <v>8</v>
      </c>
      <c r="BA38" s="37">
        <f t="shared" si="58"/>
        <v>66</v>
      </c>
      <c r="BB38" s="37">
        <f t="shared" si="59"/>
        <v>18</v>
      </c>
      <c r="BC38" s="37">
        <f t="shared" si="50"/>
        <v>48</v>
      </c>
      <c r="BF38" s="49">
        <f>BK38+COUNTIF(BK$31:BK37,BK38)</f>
        <v>4</v>
      </c>
      <c r="BG38" s="51" t="str">
        <f t="shared" si="60"/>
        <v>リトルイーグルス</v>
      </c>
      <c r="BH38" s="49">
        <f t="shared" si="61"/>
        <v>8</v>
      </c>
      <c r="BI38" s="49">
        <f t="shared" si="62"/>
        <v>4</v>
      </c>
      <c r="BJ38" s="49">
        <f t="shared" si="63"/>
        <v>6</v>
      </c>
      <c r="BK38" s="49">
        <f t="shared" si="64"/>
        <v>3</v>
      </c>
      <c r="BL38" s="50">
        <f t="shared" si="65"/>
        <v>7</v>
      </c>
      <c r="BM38" s="52" t="str">
        <f t="shared" si="66"/>
        <v>串崎スワローズ</v>
      </c>
      <c r="BN38" s="52">
        <f t="shared" si="67"/>
        <v>0</v>
      </c>
      <c r="BO38" s="52">
        <f t="shared" si="68"/>
        <v>0</v>
      </c>
      <c r="BP38" s="52">
        <f t="shared" si="69"/>
        <v>6</v>
      </c>
      <c r="BQ38" s="62"/>
      <c r="BS38" s="49">
        <f>BV38+COUNTIF(BV$31:BV37,BV38)</f>
        <v>7</v>
      </c>
      <c r="BT38" s="51" t="str">
        <f t="shared" si="70"/>
        <v>リトルイーグルス</v>
      </c>
      <c r="BU38" s="49">
        <f t="shared" si="71"/>
        <v>6</v>
      </c>
      <c r="BV38" s="49">
        <f t="shared" si="72"/>
        <v>1</v>
      </c>
      <c r="BW38" s="50">
        <f t="shared" si="73"/>
        <v>1</v>
      </c>
      <c r="BX38" s="52" t="str">
        <f t="shared" si="74"/>
        <v>リトルイーグルス</v>
      </c>
    </row>
    <row r="39" spans="1:76" ht="19.5" customHeight="1">
      <c r="A39" s="107"/>
      <c r="B39" s="43"/>
      <c r="C39" s="44"/>
      <c r="D39" s="44"/>
      <c r="E39" s="45"/>
      <c r="F39" s="43"/>
      <c r="G39" s="44"/>
      <c r="H39" s="44"/>
      <c r="I39" s="45"/>
      <c r="J39" s="43"/>
      <c r="K39" s="44"/>
      <c r="L39" s="44"/>
      <c r="M39" s="45"/>
      <c r="N39" s="43"/>
      <c r="O39" s="44"/>
      <c r="P39" s="44"/>
      <c r="Q39" s="45"/>
      <c r="R39" s="43"/>
      <c r="S39" s="44"/>
      <c r="T39" s="44"/>
      <c r="U39" s="45"/>
      <c r="V39" s="43"/>
      <c r="W39" s="44"/>
      <c r="X39" s="44"/>
      <c r="Y39" s="45"/>
      <c r="Z39" s="43"/>
      <c r="AA39" s="44"/>
      <c r="AB39" s="44"/>
      <c r="AC39" s="45"/>
      <c r="AD39" s="43"/>
      <c r="AE39" s="44"/>
      <c r="AF39" s="44"/>
      <c r="AG39" s="45"/>
      <c r="AH39" s="43"/>
      <c r="AI39" s="44">
        <f>IF(AG40="","",AG40)</f>
      </c>
      <c r="AJ39" s="44"/>
      <c r="AK39" s="45">
        <f>IF(AE40="","",AE40)</f>
      </c>
      <c r="AL39" s="43"/>
      <c r="AM39" s="44">
        <f>IF(AG41="","",AG41)</f>
      </c>
      <c r="AN39" s="44"/>
      <c r="AO39" s="45">
        <f>IF(AE41="","",AE41)</f>
      </c>
      <c r="AP39" s="43"/>
      <c r="AQ39" s="44">
        <f>IF(AG42="","",AG42)</f>
      </c>
      <c r="AR39" s="44"/>
      <c r="AS39" s="45">
        <f>IF(AE42="","",AE42)</f>
      </c>
      <c r="AT39" s="47"/>
      <c r="AU39" s="37"/>
      <c r="AV39" s="37"/>
      <c r="AW39" s="38"/>
      <c r="AX39" s="39"/>
      <c r="AY39" s="40"/>
      <c r="AZ39" s="41"/>
      <c r="BA39" s="37"/>
      <c r="BB39" s="37"/>
      <c r="BC39" s="37"/>
      <c r="BF39" s="49"/>
      <c r="BG39" s="51"/>
      <c r="BH39" s="49"/>
      <c r="BI39" s="49"/>
      <c r="BJ39" s="49"/>
      <c r="BK39" s="49"/>
      <c r="BL39" s="50"/>
      <c r="BM39" s="52"/>
      <c r="BN39" s="52"/>
      <c r="BO39" s="52"/>
      <c r="BP39" s="52"/>
      <c r="BQ39" s="62"/>
      <c r="BS39" s="49"/>
      <c r="BT39" s="51"/>
      <c r="BU39" s="49"/>
      <c r="BV39" s="49"/>
      <c r="BW39" s="50"/>
      <c r="BX39" s="52"/>
    </row>
    <row r="40" spans="1:76" ht="19.5" customHeight="1">
      <c r="A40" s="107"/>
      <c r="B40" s="43"/>
      <c r="C40" s="44"/>
      <c r="D40" s="44"/>
      <c r="E40" s="45"/>
      <c r="F40" s="43"/>
      <c r="G40" s="44"/>
      <c r="H40" s="44"/>
      <c r="I40" s="45"/>
      <c r="J40" s="43"/>
      <c r="K40" s="44"/>
      <c r="L40" s="44"/>
      <c r="M40" s="45"/>
      <c r="N40" s="43"/>
      <c r="O40" s="44"/>
      <c r="P40" s="44"/>
      <c r="Q40" s="45"/>
      <c r="R40" s="43"/>
      <c r="S40" s="44"/>
      <c r="T40" s="44"/>
      <c r="U40" s="45"/>
      <c r="V40" s="43"/>
      <c r="W40" s="44"/>
      <c r="X40" s="44"/>
      <c r="Y40" s="45"/>
      <c r="Z40" s="43"/>
      <c r="AA40" s="44"/>
      <c r="AB40" s="44"/>
      <c r="AC40" s="45"/>
      <c r="AD40" s="43"/>
      <c r="AE40" s="44"/>
      <c r="AF40" s="44"/>
      <c r="AG40" s="45"/>
      <c r="AH40" s="44"/>
      <c r="AI40" s="44"/>
      <c r="AJ40" s="44"/>
      <c r="AK40" s="44"/>
      <c r="AL40" s="43"/>
      <c r="AM40" s="44">
        <f>IF(AK41="","",AK41)</f>
      </c>
      <c r="AN40" s="44"/>
      <c r="AO40" s="45">
        <f>IF(AI41="","",AI41)</f>
      </c>
      <c r="AP40" s="43"/>
      <c r="AQ40" s="44">
        <f>IF(AK42="","",AK42)</f>
      </c>
      <c r="AR40" s="44"/>
      <c r="AS40" s="45">
        <f>IF(AI42="","",AI42)</f>
      </c>
      <c r="AT40" s="47"/>
      <c r="AU40" s="37"/>
      <c r="AV40" s="37"/>
      <c r="AW40" s="38"/>
      <c r="AX40" s="39"/>
      <c r="AY40" s="40"/>
      <c r="AZ40" s="41"/>
      <c r="BA40" s="37"/>
      <c r="BB40" s="37"/>
      <c r="BC40" s="37"/>
      <c r="BF40" s="49"/>
      <c r="BG40" s="51"/>
      <c r="BH40" s="49"/>
      <c r="BI40" s="49"/>
      <c r="BJ40" s="49"/>
      <c r="BK40" s="49"/>
      <c r="BL40" s="50"/>
      <c r="BM40" s="52"/>
      <c r="BN40" s="52"/>
      <c r="BO40" s="52"/>
      <c r="BP40" s="52"/>
      <c r="BQ40" s="62"/>
      <c r="BS40" s="49"/>
      <c r="BT40" s="51"/>
      <c r="BU40" s="49"/>
      <c r="BV40" s="49"/>
      <c r="BW40" s="50"/>
      <c r="BX40" s="52"/>
    </row>
    <row r="41" spans="1:76" ht="19.5" customHeight="1">
      <c r="A41" s="107"/>
      <c r="B41" s="43"/>
      <c r="C41" s="44"/>
      <c r="D41" s="44"/>
      <c r="E41" s="45"/>
      <c r="F41" s="43"/>
      <c r="G41" s="44"/>
      <c r="H41" s="44"/>
      <c r="I41" s="45"/>
      <c r="J41" s="43"/>
      <c r="K41" s="44"/>
      <c r="L41" s="44"/>
      <c r="M41" s="45"/>
      <c r="N41" s="43"/>
      <c r="O41" s="44"/>
      <c r="P41" s="44"/>
      <c r="Q41" s="45"/>
      <c r="R41" s="43"/>
      <c r="S41" s="44"/>
      <c r="T41" s="44"/>
      <c r="U41" s="45"/>
      <c r="V41" s="43"/>
      <c r="W41" s="44"/>
      <c r="X41" s="44"/>
      <c r="Y41" s="45"/>
      <c r="Z41" s="43"/>
      <c r="AA41" s="44"/>
      <c r="AB41" s="44"/>
      <c r="AC41" s="45"/>
      <c r="AD41" s="43"/>
      <c r="AE41" s="44"/>
      <c r="AF41" s="44"/>
      <c r="AG41" s="45"/>
      <c r="AH41" s="44"/>
      <c r="AI41" s="92"/>
      <c r="AJ41" s="44"/>
      <c r="AK41" s="44"/>
      <c r="AL41" s="43"/>
      <c r="AM41" s="44"/>
      <c r="AN41" s="44"/>
      <c r="AO41" s="45"/>
      <c r="AP41" s="43"/>
      <c r="AQ41" s="44">
        <f>IF(AO42="","",AO42)</f>
      </c>
      <c r="AR41" s="44"/>
      <c r="AS41" s="45">
        <f>IF(AM42="","",AM42)</f>
      </c>
      <c r="AT41" s="47"/>
      <c r="AU41" s="37"/>
      <c r="AV41" s="37"/>
      <c r="AW41" s="38"/>
      <c r="AX41" s="39"/>
      <c r="AY41" s="40"/>
      <c r="AZ41" s="41"/>
      <c r="BA41" s="37"/>
      <c r="BB41" s="37"/>
      <c r="BC41" s="37"/>
      <c r="BF41" s="49"/>
      <c r="BG41" s="51"/>
      <c r="BH41" s="49"/>
      <c r="BI41" s="49"/>
      <c r="BJ41" s="49"/>
      <c r="BK41" s="49"/>
      <c r="BL41" s="50"/>
      <c r="BM41" s="52"/>
      <c r="BN41" s="52"/>
      <c r="BO41" s="52"/>
      <c r="BP41" s="52"/>
      <c r="BQ41" s="62"/>
      <c r="BS41" s="49"/>
      <c r="BT41" s="51"/>
      <c r="BU41" s="49"/>
      <c r="BV41" s="49"/>
      <c r="BW41" s="50"/>
      <c r="BX41" s="52"/>
    </row>
    <row r="42" spans="1:76" ht="19.5" customHeight="1">
      <c r="A42" s="86"/>
      <c r="B42" s="43"/>
      <c r="C42" s="44"/>
      <c r="D42" s="44"/>
      <c r="E42" s="45"/>
      <c r="F42" s="43"/>
      <c r="G42" s="44"/>
      <c r="H42" s="44"/>
      <c r="I42" s="45"/>
      <c r="J42" s="43"/>
      <c r="K42" s="44"/>
      <c r="L42" s="44"/>
      <c r="M42" s="45"/>
      <c r="N42" s="43"/>
      <c r="O42" s="44"/>
      <c r="P42" s="44"/>
      <c r="Q42" s="45"/>
      <c r="R42" s="43"/>
      <c r="S42" s="44"/>
      <c r="T42" s="44"/>
      <c r="U42" s="45"/>
      <c r="V42" s="43"/>
      <c r="W42" s="44"/>
      <c r="X42" s="44"/>
      <c r="Y42" s="45"/>
      <c r="Z42" s="43"/>
      <c r="AA42" s="44"/>
      <c r="AB42" s="44"/>
      <c r="AC42" s="45"/>
      <c r="AD42" s="43"/>
      <c r="AE42" s="44"/>
      <c r="AF42" s="44"/>
      <c r="AG42" s="45"/>
      <c r="AH42" s="44"/>
      <c r="AI42" s="92"/>
      <c r="AJ42" s="44"/>
      <c r="AK42" s="44"/>
      <c r="AL42" s="43"/>
      <c r="AM42" s="44"/>
      <c r="AN42" s="44"/>
      <c r="AO42" s="45"/>
      <c r="AP42" s="43"/>
      <c r="AQ42" s="44"/>
      <c r="AR42" s="44"/>
      <c r="AS42" s="45"/>
      <c r="AT42" s="47"/>
      <c r="AU42" s="37"/>
      <c r="AV42" s="37"/>
      <c r="AW42" s="38"/>
      <c r="AX42" s="39"/>
      <c r="AY42" s="40"/>
      <c r="AZ42" s="41"/>
      <c r="BA42" s="37"/>
      <c r="BB42" s="37"/>
      <c r="BC42" s="37"/>
      <c r="BF42" s="49"/>
      <c r="BG42" s="51"/>
      <c r="BH42" s="49"/>
      <c r="BI42" s="49"/>
      <c r="BJ42" s="49"/>
      <c r="BK42" s="49"/>
      <c r="BL42" s="50"/>
      <c r="BM42" s="52"/>
      <c r="BN42" s="52"/>
      <c r="BO42" s="52"/>
      <c r="BP42" s="52"/>
      <c r="BQ42" s="62"/>
      <c r="BS42" s="49"/>
      <c r="BT42" s="51"/>
      <c r="BU42" s="49"/>
      <c r="BV42" s="49"/>
      <c r="BW42" s="50"/>
      <c r="BX42" s="52"/>
    </row>
    <row r="43" spans="1:74" ht="19.5" customHeight="1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8"/>
      <c r="AH43" s="8"/>
      <c r="AI43" s="8"/>
      <c r="AJ43" s="8"/>
      <c r="AK43" s="8"/>
      <c r="AL43" s="8"/>
      <c r="AM43" s="8"/>
      <c r="AN43" s="27"/>
      <c r="AO43" s="1"/>
      <c r="AP43" s="1"/>
      <c r="AQ43" s="1"/>
      <c r="AR43" s="1"/>
      <c r="AS43" s="1"/>
      <c r="AT43" s="7">
        <f>SUM(AT32:AT42)</f>
        <v>18</v>
      </c>
      <c r="AU43" s="7">
        <f>SUM(AU32:AU42)</f>
        <v>18</v>
      </c>
      <c r="AV43" s="7">
        <f>SUM(AV32:AV42)</f>
        <v>6</v>
      </c>
      <c r="AW43" s="7"/>
      <c r="AX43" s="7"/>
      <c r="AY43" s="7"/>
      <c r="AZ43" s="7"/>
      <c r="BA43" s="7">
        <f>SUM(BA32:BA42)</f>
        <v>284</v>
      </c>
      <c r="BB43" s="7">
        <f>SUM(BB32:BB42)</f>
        <v>284</v>
      </c>
      <c r="BC43" s="7">
        <f>SUM(BC32:BC42)</f>
        <v>0</v>
      </c>
      <c r="BU43" s="60">
        <f>SUM(BU32:BU42)/2</f>
        <v>21</v>
      </c>
      <c r="BV43" s="3">
        <f>7*6/2</f>
        <v>21</v>
      </c>
    </row>
    <row r="44" spans="1:55" ht="19.5" customHeight="1">
      <c r="A44" s="105" t="s">
        <v>67</v>
      </c>
      <c r="B44" s="90" t="s">
        <v>71</v>
      </c>
      <c r="C44" s="58"/>
      <c r="D44" s="58"/>
      <c r="E44" s="58"/>
      <c r="F44" s="58"/>
      <c r="G44" s="158" t="str">
        <f>"１日"&amp;ROUND((BV57-BU57)/'戦績'!N42,1)&amp;"試合"</f>
        <v>１日0.7試合</v>
      </c>
      <c r="H44" s="158"/>
      <c r="I44" s="158"/>
      <c r="J44" s="158"/>
      <c r="K44" s="153" t="s">
        <v>24</v>
      </c>
      <c r="L44" s="153"/>
      <c r="M44" s="153"/>
      <c r="N44" s="153"/>
      <c r="O44" s="154" t="str">
        <f>IF(C71&gt;C70,+BM46,"")</f>
        <v>松戸中央エンジェルス</v>
      </c>
      <c r="P44" s="154"/>
      <c r="Q44" s="154"/>
      <c r="R44" s="154"/>
      <c r="S44" s="154"/>
      <c r="T44" s="59"/>
      <c r="U44" s="153" t="s">
        <v>25</v>
      </c>
      <c r="V44" s="153"/>
      <c r="W44" s="153"/>
      <c r="X44" s="153"/>
      <c r="Y44" s="154" t="str">
        <f>IF(C71&gt;C70,+BM47,"")</f>
        <v>リトルジャガース</v>
      </c>
      <c r="Z44" s="154"/>
      <c r="AA44" s="154"/>
      <c r="AB44" s="154"/>
      <c r="AC44" s="154"/>
      <c r="AD44" s="154"/>
      <c r="AE44" s="1"/>
      <c r="AF44" s="1"/>
      <c r="AG44" s="1"/>
      <c r="AH44" s="1"/>
      <c r="AI44" s="1"/>
      <c r="AJ44" s="1"/>
      <c r="AK44" s="1"/>
      <c r="AL44" s="1"/>
      <c r="AM44" s="1"/>
      <c r="AN44" s="61" t="s">
        <v>30</v>
      </c>
      <c r="AO44" s="1"/>
      <c r="AP44" s="1"/>
      <c r="AQ44" s="1"/>
      <c r="AR44" s="151">
        <f>+BU57/(MAX(BF46:BF54)*(MAX(BF46:BF54)-1)/2)</f>
        <v>0.9047619047619048</v>
      </c>
      <c r="AS44" s="151"/>
      <c r="AT44" s="67">
        <f>IF(AT43=AU43,"","計算間違い")</f>
      </c>
      <c r="AU44" s="1"/>
      <c r="AV44" s="1"/>
      <c r="AW44" s="1" t="s">
        <v>17</v>
      </c>
      <c r="AX44" s="1" t="s">
        <v>18</v>
      </c>
      <c r="AY44" s="1" t="s">
        <v>19</v>
      </c>
      <c r="AZ44" s="1"/>
      <c r="BA44" s="1"/>
      <c r="BB44" s="1"/>
      <c r="BC44" s="1"/>
    </row>
    <row r="45" spans="1:73" ht="19.5" customHeight="1">
      <c r="A45" s="5"/>
      <c r="B45" s="155" t="str">
        <f>+A46</f>
        <v>松戸中央エンジェルス</v>
      </c>
      <c r="C45" s="156"/>
      <c r="D45" s="156"/>
      <c r="E45" s="157"/>
      <c r="F45" s="155" t="str">
        <f>+A47</f>
        <v>大橋みどりファイターズ</v>
      </c>
      <c r="G45" s="156"/>
      <c r="H45" s="156"/>
      <c r="I45" s="157"/>
      <c r="J45" s="155" t="str">
        <f>+A48</f>
        <v>野菊野ファイターズ</v>
      </c>
      <c r="K45" s="156"/>
      <c r="L45" s="156"/>
      <c r="M45" s="157"/>
      <c r="N45" s="155" t="str">
        <f>+A49</f>
        <v>東部フェニックス</v>
      </c>
      <c r="O45" s="156"/>
      <c r="P45" s="156"/>
      <c r="Q45" s="157"/>
      <c r="R45" s="155" t="str">
        <f>+A50</f>
        <v>桜台ウィングス</v>
      </c>
      <c r="S45" s="156"/>
      <c r="T45" s="156"/>
      <c r="U45" s="157"/>
      <c r="V45" s="155" t="str">
        <f>+A51</f>
        <v>新柏ツィンズ</v>
      </c>
      <c r="W45" s="156"/>
      <c r="X45" s="156"/>
      <c r="Y45" s="157"/>
      <c r="Z45" s="155" t="str">
        <f>+A52</f>
        <v>リトルジャガース</v>
      </c>
      <c r="AA45" s="156"/>
      <c r="AB45" s="156"/>
      <c r="AC45" s="157"/>
      <c r="AD45" s="155">
        <f>+A53</f>
        <v>0</v>
      </c>
      <c r="AE45" s="156"/>
      <c r="AF45" s="156"/>
      <c r="AG45" s="157"/>
      <c r="AH45" s="155">
        <f>+A54</f>
        <v>0</v>
      </c>
      <c r="AI45" s="156"/>
      <c r="AJ45" s="156"/>
      <c r="AK45" s="157"/>
      <c r="AL45" s="155"/>
      <c r="AM45" s="156"/>
      <c r="AN45" s="156"/>
      <c r="AO45" s="157"/>
      <c r="AP45" s="152"/>
      <c r="AQ45" s="152"/>
      <c r="AR45" s="152"/>
      <c r="AS45" s="152"/>
      <c r="AT45" s="32" t="s">
        <v>7</v>
      </c>
      <c r="AU45" s="32" t="s">
        <v>8</v>
      </c>
      <c r="AV45" s="32" t="s">
        <v>9</v>
      </c>
      <c r="AW45" s="33" t="s">
        <v>14</v>
      </c>
      <c r="AX45" s="34" t="s">
        <v>15</v>
      </c>
      <c r="AY45" s="35" t="s">
        <v>16</v>
      </c>
      <c r="AZ45" s="36" t="s">
        <v>10</v>
      </c>
      <c r="BA45" s="32" t="s">
        <v>11</v>
      </c>
      <c r="BB45" s="32" t="s">
        <v>12</v>
      </c>
      <c r="BC45" s="32" t="s">
        <v>13</v>
      </c>
      <c r="BF45" s="48"/>
      <c r="BG45" s="48" t="s">
        <v>21</v>
      </c>
      <c r="BH45" s="48" t="s">
        <v>22</v>
      </c>
      <c r="BI45" s="48"/>
      <c r="BJ45" s="48"/>
      <c r="BK45" s="48"/>
      <c r="BL45" s="48"/>
      <c r="BT45" s="3" t="s">
        <v>21</v>
      </c>
      <c r="BU45" s="3" t="s">
        <v>23</v>
      </c>
    </row>
    <row r="46" spans="1:76" ht="19.5" customHeight="1">
      <c r="A46" s="107" t="s">
        <v>81</v>
      </c>
      <c r="B46" s="43"/>
      <c r="C46" s="44"/>
      <c r="D46" s="44"/>
      <c r="E46" s="45"/>
      <c r="F46" s="43"/>
      <c r="G46" s="44">
        <f>IF(E47="","",E47)</f>
        <v>16</v>
      </c>
      <c r="H46" s="44"/>
      <c r="I46" s="45">
        <f>IF(C47="","",C47)</f>
        <v>0</v>
      </c>
      <c r="J46" s="43"/>
      <c r="K46" s="44">
        <f>IF(E48="","",E48)</f>
        <v>9</v>
      </c>
      <c r="L46" s="44"/>
      <c r="M46" s="45">
        <f>IF(C48="","",C48)</f>
        <v>1</v>
      </c>
      <c r="N46" s="43"/>
      <c r="O46" s="44">
        <f>IF(E49="","",E49)</f>
        <v>15</v>
      </c>
      <c r="P46" s="44"/>
      <c r="Q46" s="45">
        <f>IF(C49="","",C49)</f>
        <v>0</v>
      </c>
      <c r="R46" s="43"/>
      <c r="S46" s="44">
        <f>IF(E50="","",E50)</f>
        <v>5</v>
      </c>
      <c r="T46" s="44"/>
      <c r="U46" s="45">
        <f>IF(C50="","",C50)</f>
        <v>1</v>
      </c>
      <c r="V46" s="43"/>
      <c r="W46" s="44">
        <f>IF(E51="","",E51)</f>
        <v>11</v>
      </c>
      <c r="X46" s="44"/>
      <c r="Y46" s="45">
        <f>IF(C51="","",C51)</f>
        <v>4</v>
      </c>
      <c r="Z46" s="43"/>
      <c r="AA46" s="44">
        <f>IF(E52="","",E52)</f>
        <v>12</v>
      </c>
      <c r="AB46" s="44"/>
      <c r="AC46" s="45">
        <f>IF(C52="","",C52)</f>
        <v>7</v>
      </c>
      <c r="AD46" s="43"/>
      <c r="AE46" s="44">
        <f>IF(E53="","",E53)</f>
      </c>
      <c r="AF46" s="44"/>
      <c r="AG46" s="45">
        <f>IF(C53="","",C53)</f>
      </c>
      <c r="AH46" s="43"/>
      <c r="AI46" s="44">
        <f>IF(E54="","",E54)</f>
      </c>
      <c r="AJ46" s="44"/>
      <c r="AK46" s="45">
        <f>IF(C54="","",C54)</f>
      </c>
      <c r="AL46" s="43"/>
      <c r="AM46" s="44">
        <f>IF(E55="","",E55)</f>
      </c>
      <c r="AN46" s="44"/>
      <c r="AO46" s="45">
        <f>IF(C55="","",C55)</f>
      </c>
      <c r="AP46" s="43"/>
      <c r="AQ46" s="44">
        <f>IF(E56="","",E56)</f>
      </c>
      <c r="AR46" s="44"/>
      <c r="AS46" s="45">
        <f>IF(C56="","",C56)</f>
      </c>
      <c r="AT46" s="47">
        <f>IF(C46&gt;E46,1,0)+IF(G46&gt;I46,1,0)+IF(K46&gt;M46,1,0)+IF(O46&gt;Q46,1,0)+IF(S46&gt;U46,1,0)+IF(W46&gt;Y46,1,0)+IF(AA46&gt;AC46,1,0)+IF(AE46&gt;AG46,1,0)+IF(AM46&gt;AO46,1,0)+IF(AQ46&gt;AS46,1,0)+IF(AI46&gt;AK46,1,0)</f>
        <v>6</v>
      </c>
      <c r="AU46" s="37">
        <f>IF(C46&lt;E46,1,0)+IF(G46&lt;I46,1,0)+IF(K46&lt;M46,1,0)+IF(O46&lt;Q46,1,0)+IF(S46&lt;U46,1,0)+IF(W46&lt;Y46,1,0)+IF(AA46&lt;AC46,1,0)+IF(AE46&lt;AG46,1,0)+IF(AM46&lt;AO46,1,0)+IF(AQ46&lt;AS46,1,0)+IF(AI46&lt;AK46,1,0)</f>
        <v>0</v>
      </c>
      <c r="AV46" s="37">
        <f>IF(AND(ISNUMBER(C46),C46=E46),1,0)+IF(AND(ISNUMBER(G46),G46=I46),1,0)+IF(AND(ISNUMBER(K46),K46=M46),1,)+IF(AND(ISNUMBER(O46),O46=Q46),1,0)+IF(AND(ISNUMBER(S46),S46=U46),1,0)+IF(AND(ISNUMBER(W46),W46=Y46),1,0)+IF(AND(ISNUMBER(AA46),AA46=AC46),1,0)+IF(AND(ISNUMBER(AE46),AE46=AG46),1,0)+IF(AND(ISNUMBER(AM46),AM46=AO46),1,0)+IF(AND(ISNUMBER(AQ46),AQ46=AS46),1,0)+IF(AND(ISNUMBER(AI46),AI46=AK46),1,0)</f>
        <v>0</v>
      </c>
      <c r="AW46" s="38">
        <f>AT46*2</f>
        <v>12</v>
      </c>
      <c r="AX46" s="39">
        <f>AU46*0</f>
        <v>0</v>
      </c>
      <c r="AY46" s="40">
        <f>AV46*1</f>
        <v>0</v>
      </c>
      <c r="AZ46" s="41">
        <f>AW46+AX46+AY46</f>
        <v>12</v>
      </c>
      <c r="BA46" s="37">
        <f>IF(ISNUMBER(G46),G46,0)+IF(ISNUMBER(K46),K46,0)+IF(ISNUMBER(O46),O46,0)+IF(ISNUMBER(AA46),AA46,0)+IF(ISNUMBER(AE46),AE46,0)+IF(ISNUMBER(AM46),AM46,0)+IF(ISNUMBER(S46),S46,0)+IF(ISNUMBER(W46),W46,0)+IF(ISNUMBER(C46),C46,0)+IF(ISNUMBER(AQ46),AQ46,0)+IF(ISNUMBER(AI46),AI46,0)</f>
        <v>68</v>
      </c>
      <c r="BB46" s="37">
        <f>IF(ISNUMBER(I46),I46,0)+IF(ISNUMBER(M46),M46,0)+IF(ISNUMBER(Q46),Q46,0)+IF(ISNUMBER(AC46),AC46,0)+IF(ISNUMBER(AG46),AG46,0)+IF(ISNUMBER(AO46),AO46,0)+IF(ISNUMBER(U46),U46,0)+IF(ISNUMBER(Y46),Y46,0)+IF(ISNUMBER(E46),E46,0)+IF(ISNUMBER(AS46),AS46,0)+IF(ISNUMBER(AK46),AK46,0)</f>
        <v>13</v>
      </c>
      <c r="BC46" s="37">
        <f aca="true" t="shared" si="75" ref="BC46:BC52">BA46-BB46</f>
        <v>55</v>
      </c>
      <c r="BF46" s="49">
        <f>BK46+COUNTIF(BK$45:BK45,BK46)</f>
        <v>1</v>
      </c>
      <c r="BG46" s="51" t="str">
        <f>+A46</f>
        <v>松戸中央エンジェルス</v>
      </c>
      <c r="BH46" s="49">
        <f>+AZ46</f>
        <v>12</v>
      </c>
      <c r="BI46" s="49">
        <f>+AT46</f>
        <v>6</v>
      </c>
      <c r="BJ46" s="49">
        <f>+AT46+AU46+AV46</f>
        <v>6</v>
      </c>
      <c r="BK46" s="49">
        <f>RANK(BH46,BH$46:BH$52)</f>
        <v>1</v>
      </c>
      <c r="BL46" s="50">
        <f>VLOOKUP(ROW(BF1),$BF$46:$BK$52,6,FALSE)</f>
        <v>1</v>
      </c>
      <c r="BM46" s="52" t="str">
        <f>VLOOKUP(ROW(BF1),$BF$46:$BK$52,2,FALSE)</f>
        <v>松戸中央エンジェルス</v>
      </c>
      <c r="BN46" s="52">
        <f>VLOOKUP(ROW(BF1),$BF$46:$BK$52,3,FALSE)</f>
        <v>12</v>
      </c>
      <c r="BO46" s="52">
        <f>VLOOKUP(ROW(BF1),$BF$46:$BK$52,4,FALSE)</f>
        <v>6</v>
      </c>
      <c r="BP46" s="52">
        <f>VLOOKUP(ROW(BF1),$BF$46:$BK$52,5,FALSE)</f>
        <v>6</v>
      </c>
      <c r="BQ46" s="62"/>
      <c r="BS46" s="49">
        <f>BV46+COUNTIF(BV$45:BV45,BV46)</f>
        <v>1</v>
      </c>
      <c r="BT46" s="51" t="str">
        <f>+BG46</f>
        <v>松戸中央エンジェルス</v>
      </c>
      <c r="BU46" s="49">
        <f>COUNT(B46:AS46)/2</f>
        <v>6</v>
      </c>
      <c r="BV46" s="49">
        <f>RANK(BU46,BU$46:BU$52)</f>
        <v>1</v>
      </c>
      <c r="BW46" s="50">
        <f>VLOOKUP(ROW(BS1),$BS$46:$BV$52,4,FALSE)</f>
        <v>1</v>
      </c>
      <c r="BX46" s="52" t="str">
        <f>VLOOKUP(ROW(BT1),$BS$46:$BV$52,2,FALSE)</f>
        <v>松戸中央エンジェルス</v>
      </c>
    </row>
    <row r="47" spans="1:76" ht="19.5" customHeight="1">
      <c r="A47" s="107" t="s">
        <v>118</v>
      </c>
      <c r="B47" s="43"/>
      <c r="C47" s="44">
        <v>0</v>
      </c>
      <c r="D47" s="44"/>
      <c r="E47" s="45">
        <v>16</v>
      </c>
      <c r="F47" s="43"/>
      <c r="G47" s="44"/>
      <c r="H47" s="44"/>
      <c r="I47" s="45"/>
      <c r="J47" s="43"/>
      <c r="K47" s="44">
        <f>IF(I48="","",I48)</f>
        <v>0</v>
      </c>
      <c r="L47" s="44"/>
      <c r="M47" s="45">
        <f>IF(G48="","",G48)</f>
        <v>11</v>
      </c>
      <c r="N47" s="43"/>
      <c r="O47" s="44">
        <f>IF(I49="","",I49)</f>
        <v>15</v>
      </c>
      <c r="P47" s="44"/>
      <c r="Q47" s="45">
        <f>IF(G49="","",G49)</f>
        <v>0</v>
      </c>
      <c r="R47" s="43"/>
      <c r="S47" s="44">
        <f>IF(I50="","",I50)</f>
      </c>
      <c r="T47" s="44"/>
      <c r="U47" s="45">
        <f>IF(G50="","",G50)</f>
      </c>
      <c r="V47" s="43"/>
      <c r="W47" s="44">
        <f>IF(I51="","",I51)</f>
        <v>5</v>
      </c>
      <c r="X47" s="44"/>
      <c r="Y47" s="45">
        <f>IF(G51="","",G51)</f>
        <v>17</v>
      </c>
      <c r="Z47" s="43"/>
      <c r="AA47" s="44">
        <f>IF(I52="","",I52)</f>
        <v>4</v>
      </c>
      <c r="AB47" s="44"/>
      <c r="AC47" s="45">
        <f>IF(G52="","",G52)</f>
        <v>19</v>
      </c>
      <c r="AD47" s="43"/>
      <c r="AE47" s="44">
        <f>IF(I53="","",I53)</f>
      </c>
      <c r="AF47" s="44"/>
      <c r="AG47" s="45">
        <f>IF(G53="","",G53)</f>
      </c>
      <c r="AH47" s="43"/>
      <c r="AI47" s="44">
        <f>IF(I54="","",I54)</f>
      </c>
      <c r="AJ47" s="44"/>
      <c r="AK47" s="45">
        <f>IF(G54="","",G54)</f>
      </c>
      <c r="AL47" s="43"/>
      <c r="AM47" s="44">
        <f>IF(I55="","",I55)</f>
      </c>
      <c r="AN47" s="44"/>
      <c r="AO47" s="45">
        <f>IF(G55="","",G55)</f>
      </c>
      <c r="AP47" s="43"/>
      <c r="AQ47" s="44">
        <f>IF(I56="","",I56)</f>
      </c>
      <c r="AR47" s="44"/>
      <c r="AS47" s="45">
        <f>IF(G56="","",G56)</f>
      </c>
      <c r="AT47" s="47">
        <f aca="true" t="shared" si="76" ref="AT47:AT52">IF(C47&gt;E47,1,0)+IF(G47&gt;I47,1,0)+IF(K47&gt;M47,1,0)+IF(O47&gt;Q47,1,0)+IF(S47&gt;U47,1,0)+IF(W47&gt;Y47,1,0)+IF(AA47&gt;AC47,1,0)+IF(AE47&gt;AG47,1,0)+IF(AM47&gt;AO47,1,0)+IF(AQ47&gt;AS47,1,0)+IF(AI47&gt;AK47,1,0)</f>
        <v>1</v>
      </c>
      <c r="AU47" s="37">
        <f aca="true" t="shared" si="77" ref="AU47:AU52">IF(C47&lt;E47,1,0)+IF(G47&lt;I47,1,0)+IF(K47&lt;M47,1,0)+IF(O47&lt;Q47,1,0)+IF(S47&lt;U47,1,0)+IF(W47&lt;Y47,1,0)+IF(AA47&lt;AC47,1,0)+IF(AE47&lt;AG47,1,0)+IF(AM47&lt;AO47,1,0)+IF(AQ47&lt;AS47,1,0)+IF(AI47&lt;AK47,1,0)</f>
        <v>4</v>
      </c>
      <c r="AV47" s="37">
        <f aca="true" t="shared" si="78" ref="AV47:AV52">IF(AND(ISNUMBER(C47),C47=E47),1,0)+IF(AND(ISNUMBER(G47),G47=I47),1,0)+IF(AND(ISNUMBER(K47),K47=M47),1,)+IF(AND(ISNUMBER(O47),O47=Q47),1,0)+IF(AND(ISNUMBER(S47),S47=U47),1,0)+IF(AND(ISNUMBER(W47),W47=Y47),1,0)+IF(AND(ISNUMBER(AA47),AA47=AC47),1,0)+IF(AND(ISNUMBER(AE47),AE47=AG47),1,0)+IF(AND(ISNUMBER(AM47),AM47=AO47),1,0)+IF(AND(ISNUMBER(AQ47),AQ47=AS47),1,0)+IF(AND(ISNUMBER(AI47),AI47=AK47),1,0)</f>
        <v>0</v>
      </c>
      <c r="AW47" s="38">
        <f aca="true" t="shared" si="79" ref="AW47:AW52">AT47*2</f>
        <v>2</v>
      </c>
      <c r="AX47" s="39">
        <f aca="true" t="shared" si="80" ref="AX47:AX52">AU47*0</f>
        <v>0</v>
      </c>
      <c r="AY47" s="40">
        <f aca="true" t="shared" si="81" ref="AY47:AY52">AV47*1</f>
        <v>0</v>
      </c>
      <c r="AZ47" s="41">
        <f aca="true" t="shared" si="82" ref="AZ47:AZ52">AW47+AX47+AY47</f>
        <v>2</v>
      </c>
      <c r="BA47" s="37">
        <f aca="true" t="shared" si="83" ref="BA47:BA52">IF(ISNUMBER(G47),G47,0)+IF(ISNUMBER(K47),K47,0)+IF(ISNUMBER(O47),O47,0)+IF(ISNUMBER(AA47),AA47,0)+IF(ISNUMBER(AE47),AE47,0)+IF(ISNUMBER(AM47),AM47,0)+IF(ISNUMBER(S47),S47,0)+IF(ISNUMBER(W47),W47,0)+IF(ISNUMBER(C47),C47,0)+IF(ISNUMBER(AQ47),AQ47,0)+IF(ISNUMBER(AI47),AI47,0)</f>
        <v>24</v>
      </c>
      <c r="BB47" s="37">
        <f aca="true" t="shared" si="84" ref="BB47:BB52">IF(ISNUMBER(I47),I47,0)+IF(ISNUMBER(M47),M47,0)+IF(ISNUMBER(Q47),Q47,0)+IF(ISNUMBER(AC47),AC47,0)+IF(ISNUMBER(AG47),AG47,0)+IF(ISNUMBER(AO47),AO47,0)+IF(ISNUMBER(U47),U47,0)+IF(ISNUMBER(Y47),Y47,0)+IF(ISNUMBER(E47),E47,0)+IF(ISNUMBER(AS47),AS47,0)+IF(ISNUMBER(AK47),AK47,0)</f>
        <v>63</v>
      </c>
      <c r="BC47" s="37">
        <f t="shared" si="75"/>
        <v>-39</v>
      </c>
      <c r="BF47" s="49">
        <f>BK47+COUNTIF(BK$45:BK46,BK47)</f>
        <v>6</v>
      </c>
      <c r="BG47" s="51" t="str">
        <f aca="true" t="shared" si="85" ref="BG47:BG52">+A47</f>
        <v>大橋みどりファイターズ</v>
      </c>
      <c r="BH47" s="49">
        <f aca="true" t="shared" si="86" ref="BH47:BH52">+AZ47</f>
        <v>2</v>
      </c>
      <c r="BI47" s="49">
        <f aca="true" t="shared" si="87" ref="BI47:BI52">+AT47</f>
        <v>1</v>
      </c>
      <c r="BJ47" s="49">
        <f aca="true" t="shared" si="88" ref="BJ47:BJ52">+AT47+AU47+AV47</f>
        <v>5</v>
      </c>
      <c r="BK47" s="49">
        <f aca="true" t="shared" si="89" ref="BK47:BK52">RANK(BH47,BH$46:BH$52)</f>
        <v>6</v>
      </c>
      <c r="BL47" s="50">
        <f aca="true" t="shared" si="90" ref="BL47:BL52">VLOOKUP(ROW(BF2),$BF$46:$BK$52,6,FALSE)</f>
        <v>2</v>
      </c>
      <c r="BM47" s="52" t="str">
        <f aca="true" t="shared" si="91" ref="BM47:BM52">VLOOKUP(ROW(BF2),$BF$46:$BK$52,2,FALSE)</f>
        <v>リトルジャガース</v>
      </c>
      <c r="BN47" s="52">
        <f aca="true" t="shared" si="92" ref="BN47:BN52">VLOOKUP(ROW(BF2),$BF$46:$BK$52,3,FALSE)</f>
        <v>8</v>
      </c>
      <c r="BO47" s="52">
        <f aca="true" t="shared" si="93" ref="BO47:BO52">VLOOKUP(ROW(BF2),$BF$46:$BK$52,4,FALSE)</f>
        <v>4</v>
      </c>
      <c r="BP47" s="52">
        <f aca="true" t="shared" si="94" ref="BP47:BP52">VLOOKUP(ROW(BF2),$BF$46:$BK$52,5,FALSE)</f>
        <v>6</v>
      </c>
      <c r="BQ47" s="62"/>
      <c r="BS47" s="49">
        <f>BV47+COUNTIF(BV$45:BV46,BV47)</f>
        <v>5</v>
      </c>
      <c r="BT47" s="51" t="str">
        <f aca="true" t="shared" si="95" ref="BT47:BT52">+BG47</f>
        <v>大橋みどりファイターズ</v>
      </c>
      <c r="BU47" s="49">
        <f aca="true" t="shared" si="96" ref="BU47:BU52">COUNT(B47:AS47)/2</f>
        <v>5</v>
      </c>
      <c r="BV47" s="49">
        <f aca="true" t="shared" si="97" ref="BV47:BV52">RANK(BU47,BU$46:BU$52)</f>
        <v>5</v>
      </c>
      <c r="BW47" s="50">
        <f aca="true" t="shared" si="98" ref="BW47:BW52">VLOOKUP(ROW(BS2),$BS$46:$BV$52,4,FALSE)</f>
        <v>1</v>
      </c>
      <c r="BX47" s="52" t="str">
        <f aca="true" t="shared" si="99" ref="BX47:BX52">VLOOKUP(ROW(BT2),$BS$46:$BV$52,2,FALSE)</f>
        <v>野菊野ファイターズ</v>
      </c>
    </row>
    <row r="48" spans="1:76" ht="19.5" customHeight="1">
      <c r="A48" s="107" t="s">
        <v>80</v>
      </c>
      <c r="B48" s="43"/>
      <c r="C48" s="44">
        <v>1</v>
      </c>
      <c r="D48" s="44"/>
      <c r="E48" s="45">
        <v>9</v>
      </c>
      <c r="F48" s="43"/>
      <c r="G48" s="44">
        <v>11</v>
      </c>
      <c r="H48" s="44"/>
      <c r="I48" s="45">
        <v>0</v>
      </c>
      <c r="J48" s="43"/>
      <c r="K48" s="44"/>
      <c r="L48" s="44"/>
      <c r="M48" s="45"/>
      <c r="N48" s="43"/>
      <c r="O48" s="44">
        <f>IF(M49="","",M49)</f>
        <v>15</v>
      </c>
      <c r="P48" s="44"/>
      <c r="Q48" s="45">
        <f>IF(K49="","",K49)</f>
        <v>0</v>
      </c>
      <c r="R48" s="43"/>
      <c r="S48" s="44">
        <f>IF(M50="","",M50)</f>
        <v>0</v>
      </c>
      <c r="T48" s="44"/>
      <c r="U48" s="45">
        <f>IF(K50="","",K50)</f>
        <v>3</v>
      </c>
      <c r="V48" s="43"/>
      <c r="W48" s="44">
        <f>IF(M51="","",M51)</f>
        <v>2</v>
      </c>
      <c r="X48" s="44"/>
      <c r="Y48" s="45">
        <f>IF(K51="","",K51)</f>
        <v>5</v>
      </c>
      <c r="Z48" s="43"/>
      <c r="AA48" s="44">
        <f>IF(M52="","",M52)</f>
        <v>4</v>
      </c>
      <c r="AB48" s="44"/>
      <c r="AC48" s="45">
        <f>IF(K52="","",K52)</f>
        <v>1</v>
      </c>
      <c r="AD48" s="43"/>
      <c r="AE48" s="44">
        <f>IF(M53="","",M53)</f>
      </c>
      <c r="AF48" s="44"/>
      <c r="AG48" s="45">
        <f>IF(K53="","",K53)</f>
      </c>
      <c r="AH48" s="43"/>
      <c r="AI48" s="44">
        <f>IF(M54="","",M54)</f>
      </c>
      <c r="AJ48" s="44"/>
      <c r="AK48" s="45">
        <f>IF(K54="","",K54)</f>
      </c>
      <c r="AL48" s="43"/>
      <c r="AM48" s="44">
        <f>IF(M55="","",M55)</f>
      </c>
      <c r="AN48" s="44"/>
      <c r="AO48" s="45">
        <f>IF(K55="","",K55)</f>
      </c>
      <c r="AP48" s="43"/>
      <c r="AQ48" s="44">
        <f>IF(M56="","",M56)</f>
      </c>
      <c r="AR48" s="44"/>
      <c r="AS48" s="45">
        <f>IF(K56="","",K56)</f>
      </c>
      <c r="AT48" s="47">
        <f t="shared" si="76"/>
        <v>3</v>
      </c>
      <c r="AU48" s="37">
        <f t="shared" si="77"/>
        <v>3</v>
      </c>
      <c r="AV48" s="37">
        <f t="shared" si="78"/>
        <v>0</v>
      </c>
      <c r="AW48" s="38">
        <f t="shared" si="79"/>
        <v>6</v>
      </c>
      <c r="AX48" s="39">
        <f t="shared" si="80"/>
        <v>0</v>
      </c>
      <c r="AY48" s="40">
        <f t="shared" si="81"/>
        <v>0</v>
      </c>
      <c r="AZ48" s="41">
        <f t="shared" si="82"/>
        <v>6</v>
      </c>
      <c r="BA48" s="37">
        <f t="shared" si="83"/>
        <v>33</v>
      </c>
      <c r="BB48" s="37">
        <f t="shared" si="84"/>
        <v>18</v>
      </c>
      <c r="BC48" s="37">
        <f t="shared" si="75"/>
        <v>15</v>
      </c>
      <c r="BF48" s="49">
        <f>BK48+COUNTIF(BK$45:BK47,BK48)</f>
        <v>3</v>
      </c>
      <c r="BG48" s="51" t="str">
        <f t="shared" si="85"/>
        <v>野菊野ファイターズ</v>
      </c>
      <c r="BH48" s="49">
        <f t="shared" si="86"/>
        <v>6</v>
      </c>
      <c r="BI48" s="49">
        <f t="shared" si="87"/>
        <v>3</v>
      </c>
      <c r="BJ48" s="49">
        <f t="shared" si="88"/>
        <v>6</v>
      </c>
      <c r="BK48" s="49">
        <f t="shared" si="89"/>
        <v>3</v>
      </c>
      <c r="BL48" s="50">
        <f t="shared" si="90"/>
        <v>3</v>
      </c>
      <c r="BM48" s="52" t="str">
        <f t="shared" si="91"/>
        <v>野菊野ファイターズ</v>
      </c>
      <c r="BN48" s="52">
        <f t="shared" si="92"/>
        <v>6</v>
      </c>
      <c r="BO48" s="52">
        <f t="shared" si="93"/>
        <v>3</v>
      </c>
      <c r="BP48" s="52">
        <f t="shared" si="94"/>
        <v>6</v>
      </c>
      <c r="BQ48" s="62"/>
      <c r="BS48" s="49">
        <f>BV48+COUNTIF(BV$45:BV47,BV48)</f>
        <v>2</v>
      </c>
      <c r="BT48" s="51" t="str">
        <f t="shared" si="95"/>
        <v>野菊野ファイターズ</v>
      </c>
      <c r="BU48" s="49">
        <f t="shared" si="96"/>
        <v>6</v>
      </c>
      <c r="BV48" s="49">
        <f t="shared" si="97"/>
        <v>1</v>
      </c>
      <c r="BW48" s="50">
        <f t="shared" si="98"/>
        <v>1</v>
      </c>
      <c r="BX48" s="52" t="str">
        <f t="shared" si="99"/>
        <v>東部フェニックス</v>
      </c>
    </row>
    <row r="49" spans="1:76" ht="19.5" customHeight="1">
      <c r="A49" s="107" t="s">
        <v>130</v>
      </c>
      <c r="B49" s="43"/>
      <c r="C49" s="44">
        <v>0</v>
      </c>
      <c r="D49" s="44"/>
      <c r="E49" s="45">
        <v>15</v>
      </c>
      <c r="F49" s="43"/>
      <c r="G49" s="44">
        <v>0</v>
      </c>
      <c r="H49" s="44"/>
      <c r="I49" s="45">
        <v>15</v>
      </c>
      <c r="J49" s="43"/>
      <c r="K49" s="44">
        <v>0</v>
      </c>
      <c r="L49" s="44"/>
      <c r="M49" s="45">
        <v>15</v>
      </c>
      <c r="N49" s="43"/>
      <c r="O49" s="44"/>
      <c r="P49" s="44"/>
      <c r="Q49" s="45"/>
      <c r="R49" s="43"/>
      <c r="S49" s="44">
        <f>IF(Q50="","",Q50)</f>
        <v>0</v>
      </c>
      <c r="T49" s="44"/>
      <c r="U49" s="45">
        <f>IF(O50="","",O50)</f>
        <v>15</v>
      </c>
      <c r="V49" s="43"/>
      <c r="W49" s="44">
        <f>IF(Q51="","",Q51)</f>
        <v>0</v>
      </c>
      <c r="X49" s="44"/>
      <c r="Y49" s="45">
        <f>IF(O51="","",O51)</f>
        <v>15</v>
      </c>
      <c r="Z49" s="43"/>
      <c r="AA49" s="44">
        <f>IF(Q52="","",Q52)</f>
        <v>0</v>
      </c>
      <c r="AB49" s="44"/>
      <c r="AC49" s="45">
        <f>IF(O52="","",O52)</f>
        <v>15</v>
      </c>
      <c r="AD49" s="43"/>
      <c r="AE49" s="44">
        <f>IF(Q53="","",Q53)</f>
      </c>
      <c r="AF49" s="44"/>
      <c r="AG49" s="45">
        <f>IF(O53="","",O53)</f>
      </c>
      <c r="AH49" s="43"/>
      <c r="AI49" s="44">
        <f>IF(Q54="","",Q54)</f>
      </c>
      <c r="AJ49" s="44"/>
      <c r="AK49" s="45">
        <f>IF(O54="","",O54)</f>
      </c>
      <c r="AL49" s="43"/>
      <c r="AM49" s="44">
        <f>IF(Q55="","",Q55)</f>
      </c>
      <c r="AN49" s="44"/>
      <c r="AO49" s="45">
        <f>IF(O55="","",O55)</f>
      </c>
      <c r="AP49" s="43"/>
      <c r="AQ49" s="44">
        <f>IF(Q56="","",Q56)</f>
      </c>
      <c r="AR49" s="44"/>
      <c r="AS49" s="45">
        <f>IF(O56="","",O56)</f>
      </c>
      <c r="AT49" s="47">
        <f t="shared" si="76"/>
        <v>0</v>
      </c>
      <c r="AU49" s="37">
        <f t="shared" si="77"/>
        <v>6</v>
      </c>
      <c r="AV49" s="37">
        <f t="shared" si="78"/>
        <v>0</v>
      </c>
      <c r="AW49" s="38">
        <f t="shared" si="79"/>
        <v>0</v>
      </c>
      <c r="AX49" s="39">
        <f t="shared" si="80"/>
        <v>0</v>
      </c>
      <c r="AY49" s="40">
        <f t="shared" si="81"/>
        <v>0</v>
      </c>
      <c r="AZ49" s="41">
        <f t="shared" si="82"/>
        <v>0</v>
      </c>
      <c r="BA49" s="37">
        <f t="shared" si="83"/>
        <v>0</v>
      </c>
      <c r="BB49" s="37">
        <f t="shared" si="84"/>
        <v>90</v>
      </c>
      <c r="BC49" s="37">
        <f t="shared" si="75"/>
        <v>-90</v>
      </c>
      <c r="BF49" s="49">
        <f>BK49+COUNTIF(BK$45:BK48,BK49)</f>
        <v>7</v>
      </c>
      <c r="BG49" s="51" t="str">
        <f t="shared" si="85"/>
        <v>東部フェニックス</v>
      </c>
      <c r="BH49" s="49">
        <f t="shared" si="86"/>
        <v>0</v>
      </c>
      <c r="BI49" s="49">
        <f t="shared" si="87"/>
        <v>0</v>
      </c>
      <c r="BJ49" s="49">
        <f t="shared" si="88"/>
        <v>6</v>
      </c>
      <c r="BK49" s="49">
        <f t="shared" si="89"/>
        <v>7</v>
      </c>
      <c r="BL49" s="50">
        <f t="shared" si="90"/>
        <v>3</v>
      </c>
      <c r="BM49" s="52" t="str">
        <f t="shared" si="91"/>
        <v>新柏ツィンズ</v>
      </c>
      <c r="BN49" s="52">
        <f t="shared" si="92"/>
        <v>6</v>
      </c>
      <c r="BO49" s="52">
        <f t="shared" si="93"/>
        <v>3</v>
      </c>
      <c r="BP49" s="52">
        <f t="shared" si="94"/>
        <v>5</v>
      </c>
      <c r="BQ49" s="62"/>
      <c r="BS49" s="49">
        <f>BV49+COUNTIF(BV$45:BV48,BV49)</f>
        <v>3</v>
      </c>
      <c r="BT49" s="51" t="str">
        <f t="shared" si="95"/>
        <v>東部フェニックス</v>
      </c>
      <c r="BU49" s="49">
        <f t="shared" si="96"/>
        <v>6</v>
      </c>
      <c r="BV49" s="49">
        <f t="shared" si="97"/>
        <v>1</v>
      </c>
      <c r="BW49" s="50">
        <f t="shared" si="98"/>
        <v>1</v>
      </c>
      <c r="BX49" s="52" t="str">
        <f t="shared" si="99"/>
        <v>リトルジャガース</v>
      </c>
    </row>
    <row r="50" spans="1:76" ht="19.5" customHeight="1">
      <c r="A50" s="107" t="s">
        <v>109</v>
      </c>
      <c r="B50" s="43"/>
      <c r="C50" s="44">
        <v>1</v>
      </c>
      <c r="D50" s="44"/>
      <c r="E50" s="45">
        <v>5</v>
      </c>
      <c r="F50" s="43"/>
      <c r="G50" s="44"/>
      <c r="H50" s="44"/>
      <c r="I50" s="45"/>
      <c r="J50" s="43"/>
      <c r="K50" s="44">
        <v>3</v>
      </c>
      <c r="L50" s="44"/>
      <c r="M50" s="45">
        <v>0</v>
      </c>
      <c r="N50" s="43"/>
      <c r="O50" s="44">
        <v>15</v>
      </c>
      <c r="P50" s="44"/>
      <c r="Q50" s="45">
        <v>0</v>
      </c>
      <c r="R50" s="43"/>
      <c r="S50" s="44"/>
      <c r="T50" s="44"/>
      <c r="U50" s="45"/>
      <c r="V50" s="43"/>
      <c r="W50" s="44">
        <f>IF(U51="","",U51)</f>
      </c>
      <c r="X50" s="44"/>
      <c r="Y50" s="45">
        <f>IF(S51="","",S51)</f>
      </c>
      <c r="Z50" s="43"/>
      <c r="AA50" s="44">
        <f>IF(U52="","",U52)</f>
        <v>1</v>
      </c>
      <c r="AB50" s="44"/>
      <c r="AC50" s="45">
        <f>IF(S52="","",S52)</f>
        <v>4</v>
      </c>
      <c r="AD50" s="43"/>
      <c r="AE50" s="44">
        <f>IF(U53="","",U53)</f>
      </c>
      <c r="AF50" s="44"/>
      <c r="AG50" s="45">
        <f>IF(S53="","",S53)</f>
      </c>
      <c r="AH50" s="43"/>
      <c r="AI50" s="44">
        <f>IF(U54="","",U54)</f>
      </c>
      <c r="AJ50" s="44"/>
      <c r="AK50" s="45">
        <f>IF(S54="","",S54)</f>
      </c>
      <c r="AL50" s="43"/>
      <c r="AM50" s="44">
        <f>IF(U55="","",U55)</f>
      </c>
      <c r="AN50" s="44"/>
      <c r="AO50" s="45">
        <f>IF(S55="","",S55)</f>
      </c>
      <c r="AP50" s="43"/>
      <c r="AQ50" s="44">
        <f>IF(U56="","",U56)</f>
      </c>
      <c r="AR50" s="44"/>
      <c r="AS50" s="45">
        <f>IF(S56="","",S56)</f>
      </c>
      <c r="AT50" s="47">
        <f t="shared" si="76"/>
        <v>2</v>
      </c>
      <c r="AU50" s="37">
        <f t="shared" si="77"/>
        <v>2</v>
      </c>
      <c r="AV50" s="37">
        <f t="shared" si="78"/>
        <v>0</v>
      </c>
      <c r="AW50" s="38">
        <f t="shared" si="79"/>
        <v>4</v>
      </c>
      <c r="AX50" s="39">
        <f t="shared" si="80"/>
        <v>0</v>
      </c>
      <c r="AY50" s="40">
        <f t="shared" si="81"/>
        <v>0</v>
      </c>
      <c r="AZ50" s="41">
        <f t="shared" si="82"/>
        <v>4</v>
      </c>
      <c r="BA50" s="37">
        <f t="shared" si="83"/>
        <v>20</v>
      </c>
      <c r="BB50" s="37">
        <f t="shared" si="84"/>
        <v>9</v>
      </c>
      <c r="BC50" s="37">
        <f t="shared" si="75"/>
        <v>11</v>
      </c>
      <c r="BF50" s="49">
        <f>BK50+COUNTIF(BK$45:BK49,BK50)</f>
        <v>5</v>
      </c>
      <c r="BG50" s="51" t="str">
        <f t="shared" si="85"/>
        <v>桜台ウィングス</v>
      </c>
      <c r="BH50" s="49">
        <f t="shared" si="86"/>
        <v>4</v>
      </c>
      <c r="BI50" s="49">
        <f t="shared" si="87"/>
        <v>2</v>
      </c>
      <c r="BJ50" s="49">
        <f t="shared" si="88"/>
        <v>4</v>
      </c>
      <c r="BK50" s="49">
        <f t="shared" si="89"/>
        <v>5</v>
      </c>
      <c r="BL50" s="50">
        <f t="shared" si="90"/>
        <v>5</v>
      </c>
      <c r="BM50" s="52" t="str">
        <f t="shared" si="91"/>
        <v>桜台ウィングス</v>
      </c>
      <c r="BN50" s="52">
        <f t="shared" si="92"/>
        <v>4</v>
      </c>
      <c r="BO50" s="52">
        <f t="shared" si="93"/>
        <v>2</v>
      </c>
      <c r="BP50" s="52">
        <f t="shared" si="94"/>
        <v>4</v>
      </c>
      <c r="BQ50" s="62"/>
      <c r="BS50" s="49">
        <f>BV50+COUNTIF(BV$45:BV49,BV50)</f>
        <v>7</v>
      </c>
      <c r="BT50" s="51" t="str">
        <f t="shared" si="95"/>
        <v>桜台ウィングス</v>
      </c>
      <c r="BU50" s="49">
        <f t="shared" si="96"/>
        <v>4</v>
      </c>
      <c r="BV50" s="49">
        <f t="shared" si="97"/>
        <v>7</v>
      </c>
      <c r="BW50" s="50">
        <f t="shared" si="98"/>
        <v>5</v>
      </c>
      <c r="BX50" s="52" t="str">
        <f t="shared" si="99"/>
        <v>大橋みどりファイターズ</v>
      </c>
    </row>
    <row r="51" spans="1:76" ht="19.5" customHeight="1">
      <c r="A51" s="107" t="s">
        <v>100</v>
      </c>
      <c r="B51" s="43"/>
      <c r="C51" s="44">
        <v>4</v>
      </c>
      <c r="D51" s="44"/>
      <c r="E51" s="45">
        <v>11</v>
      </c>
      <c r="F51" s="43"/>
      <c r="G51" s="44">
        <v>17</v>
      </c>
      <c r="H51" s="44"/>
      <c r="I51" s="45">
        <v>5</v>
      </c>
      <c r="J51" s="43"/>
      <c r="K51" s="44">
        <v>5</v>
      </c>
      <c r="L51" s="44"/>
      <c r="M51" s="45">
        <v>2</v>
      </c>
      <c r="N51" s="43"/>
      <c r="O51" s="44">
        <v>15</v>
      </c>
      <c r="P51" s="44"/>
      <c r="Q51" s="45">
        <v>0</v>
      </c>
      <c r="R51" s="43"/>
      <c r="S51" s="44"/>
      <c r="T51" s="44"/>
      <c r="U51" s="45"/>
      <c r="V51" s="43"/>
      <c r="W51" s="44"/>
      <c r="X51" s="44"/>
      <c r="Y51" s="45"/>
      <c r="Z51" s="43"/>
      <c r="AA51" s="44">
        <f>IF(Y52="","",Y52)</f>
        <v>0</v>
      </c>
      <c r="AB51" s="44"/>
      <c r="AC51" s="45">
        <f>IF(W52="","",W52)</f>
        <v>2</v>
      </c>
      <c r="AD51" s="43"/>
      <c r="AE51" s="44">
        <f>IF(Y53="","",Y53)</f>
      </c>
      <c r="AF51" s="44"/>
      <c r="AG51" s="45">
        <f>IF(W53="","",W53)</f>
      </c>
      <c r="AH51" s="43"/>
      <c r="AI51" s="44">
        <f>IF(Y54="","",Y54)</f>
      </c>
      <c r="AJ51" s="44"/>
      <c r="AK51" s="45">
        <f>IF(W54="","",W54)</f>
      </c>
      <c r="AL51" s="43"/>
      <c r="AM51" s="44">
        <f>IF(Y55="","",Y55)</f>
      </c>
      <c r="AN51" s="44"/>
      <c r="AO51" s="45">
        <f>IF(W55="","",W55)</f>
      </c>
      <c r="AP51" s="43"/>
      <c r="AQ51" s="44">
        <f>IF(Y56="","",Y56)</f>
      </c>
      <c r="AR51" s="44"/>
      <c r="AS51" s="45">
        <f>IF(W56="","",W56)</f>
      </c>
      <c r="AT51" s="47">
        <f t="shared" si="76"/>
        <v>3</v>
      </c>
      <c r="AU51" s="37">
        <f t="shared" si="77"/>
        <v>2</v>
      </c>
      <c r="AV51" s="37">
        <f t="shared" si="78"/>
        <v>0</v>
      </c>
      <c r="AW51" s="38">
        <f t="shared" si="79"/>
        <v>6</v>
      </c>
      <c r="AX51" s="39">
        <f t="shared" si="80"/>
        <v>0</v>
      </c>
      <c r="AY51" s="40">
        <f t="shared" si="81"/>
        <v>0</v>
      </c>
      <c r="AZ51" s="41">
        <f t="shared" si="82"/>
        <v>6</v>
      </c>
      <c r="BA51" s="37">
        <f t="shared" si="83"/>
        <v>41</v>
      </c>
      <c r="BB51" s="37">
        <f t="shared" si="84"/>
        <v>20</v>
      </c>
      <c r="BC51" s="37">
        <f t="shared" si="75"/>
        <v>21</v>
      </c>
      <c r="BF51" s="49">
        <f>BK51+COUNTIF(BK$45:BK50,BK51)</f>
        <v>4</v>
      </c>
      <c r="BG51" s="51" t="str">
        <f t="shared" si="85"/>
        <v>新柏ツィンズ</v>
      </c>
      <c r="BH51" s="49">
        <f t="shared" si="86"/>
        <v>6</v>
      </c>
      <c r="BI51" s="49">
        <f t="shared" si="87"/>
        <v>3</v>
      </c>
      <c r="BJ51" s="49">
        <f t="shared" si="88"/>
        <v>5</v>
      </c>
      <c r="BK51" s="49">
        <f t="shared" si="89"/>
        <v>3</v>
      </c>
      <c r="BL51" s="50">
        <f t="shared" si="90"/>
        <v>6</v>
      </c>
      <c r="BM51" s="52" t="str">
        <f t="shared" si="91"/>
        <v>大橋みどりファイターズ</v>
      </c>
      <c r="BN51" s="52">
        <f t="shared" si="92"/>
        <v>2</v>
      </c>
      <c r="BO51" s="52">
        <f t="shared" si="93"/>
        <v>1</v>
      </c>
      <c r="BP51" s="52">
        <f t="shared" si="94"/>
        <v>5</v>
      </c>
      <c r="BQ51" s="62"/>
      <c r="BS51" s="49">
        <f>BV51+COUNTIF(BV$45:BV50,BV51)</f>
        <v>6</v>
      </c>
      <c r="BT51" s="51" t="str">
        <f t="shared" si="95"/>
        <v>新柏ツィンズ</v>
      </c>
      <c r="BU51" s="49">
        <f t="shared" si="96"/>
        <v>5</v>
      </c>
      <c r="BV51" s="49">
        <f t="shared" si="97"/>
        <v>5</v>
      </c>
      <c r="BW51" s="50">
        <f t="shared" si="98"/>
        <v>5</v>
      </c>
      <c r="BX51" s="52" t="str">
        <f t="shared" si="99"/>
        <v>新柏ツィンズ</v>
      </c>
    </row>
    <row r="52" spans="1:76" ht="19.5" customHeight="1">
      <c r="A52" s="107" t="s">
        <v>94</v>
      </c>
      <c r="B52" s="43"/>
      <c r="C52" s="44">
        <v>7</v>
      </c>
      <c r="D52" s="44"/>
      <c r="E52" s="45">
        <v>12</v>
      </c>
      <c r="F52" s="43"/>
      <c r="G52" s="44">
        <v>19</v>
      </c>
      <c r="H52" s="44"/>
      <c r="I52" s="45">
        <v>4</v>
      </c>
      <c r="J52" s="43"/>
      <c r="K52" s="44">
        <v>1</v>
      </c>
      <c r="L52" s="44"/>
      <c r="M52" s="45">
        <v>4</v>
      </c>
      <c r="N52" s="43"/>
      <c r="O52" s="44">
        <v>15</v>
      </c>
      <c r="P52" s="44"/>
      <c r="Q52" s="45">
        <v>0</v>
      </c>
      <c r="R52" s="43"/>
      <c r="S52" s="44">
        <v>4</v>
      </c>
      <c r="T52" s="44"/>
      <c r="U52" s="45">
        <v>1</v>
      </c>
      <c r="V52" s="43"/>
      <c r="W52" s="44">
        <v>2</v>
      </c>
      <c r="X52" s="44"/>
      <c r="Y52" s="45">
        <v>0</v>
      </c>
      <c r="Z52" s="43"/>
      <c r="AA52" s="44"/>
      <c r="AB52" s="44"/>
      <c r="AC52" s="45"/>
      <c r="AD52" s="43"/>
      <c r="AE52" s="44">
        <f>IF(AC53="","",AC53)</f>
      </c>
      <c r="AF52" s="44"/>
      <c r="AG52" s="45">
        <f>IF(AA53="","",AA53)</f>
      </c>
      <c r="AH52" s="43"/>
      <c r="AI52" s="44">
        <f>IF(AC54="","",AC54)</f>
      </c>
      <c r="AJ52" s="44"/>
      <c r="AK52" s="45">
        <f>IF(AA54="","",AA54)</f>
      </c>
      <c r="AL52" s="43"/>
      <c r="AM52" s="44">
        <f>IF(AC55="","",AC55)</f>
      </c>
      <c r="AN52" s="44"/>
      <c r="AO52" s="45">
        <f>IF(AA55="","",AA55)</f>
      </c>
      <c r="AP52" s="43"/>
      <c r="AQ52" s="44">
        <f>IF(AC56="","",AC56)</f>
      </c>
      <c r="AR52" s="44"/>
      <c r="AS52" s="45">
        <f>IF(AA56="","",AA56)</f>
      </c>
      <c r="AT52" s="47">
        <f t="shared" si="76"/>
        <v>4</v>
      </c>
      <c r="AU52" s="37">
        <f t="shared" si="77"/>
        <v>2</v>
      </c>
      <c r="AV52" s="37">
        <f t="shared" si="78"/>
        <v>0</v>
      </c>
      <c r="AW52" s="38">
        <f t="shared" si="79"/>
        <v>8</v>
      </c>
      <c r="AX52" s="39">
        <f t="shared" si="80"/>
        <v>0</v>
      </c>
      <c r="AY52" s="40">
        <f t="shared" si="81"/>
        <v>0</v>
      </c>
      <c r="AZ52" s="41">
        <f t="shared" si="82"/>
        <v>8</v>
      </c>
      <c r="BA52" s="37">
        <f t="shared" si="83"/>
        <v>48</v>
      </c>
      <c r="BB52" s="37">
        <f t="shared" si="84"/>
        <v>21</v>
      </c>
      <c r="BC52" s="37">
        <f t="shared" si="75"/>
        <v>27</v>
      </c>
      <c r="BF52" s="49">
        <f>BK52+COUNTIF(BK$45:BK51,BK52)</f>
        <v>2</v>
      </c>
      <c r="BG52" s="51" t="str">
        <f t="shared" si="85"/>
        <v>リトルジャガース</v>
      </c>
      <c r="BH52" s="49">
        <f t="shared" si="86"/>
        <v>8</v>
      </c>
      <c r="BI52" s="49">
        <f t="shared" si="87"/>
        <v>4</v>
      </c>
      <c r="BJ52" s="49">
        <f t="shared" si="88"/>
        <v>6</v>
      </c>
      <c r="BK52" s="49">
        <f t="shared" si="89"/>
        <v>2</v>
      </c>
      <c r="BL52" s="50">
        <f t="shared" si="90"/>
        <v>7</v>
      </c>
      <c r="BM52" s="52" t="str">
        <f t="shared" si="91"/>
        <v>東部フェニックス</v>
      </c>
      <c r="BN52" s="52">
        <f t="shared" si="92"/>
        <v>0</v>
      </c>
      <c r="BO52" s="52">
        <f t="shared" si="93"/>
        <v>0</v>
      </c>
      <c r="BP52" s="52">
        <f t="shared" si="94"/>
        <v>6</v>
      </c>
      <c r="BQ52" s="62"/>
      <c r="BS52" s="49">
        <f>BV52+COUNTIF(BV$45:BV51,BV52)</f>
        <v>4</v>
      </c>
      <c r="BT52" s="51" t="str">
        <f t="shared" si="95"/>
        <v>リトルジャガース</v>
      </c>
      <c r="BU52" s="49">
        <f t="shared" si="96"/>
        <v>6</v>
      </c>
      <c r="BV52" s="49">
        <f t="shared" si="97"/>
        <v>1</v>
      </c>
      <c r="BW52" s="50">
        <f t="shared" si="98"/>
        <v>7</v>
      </c>
      <c r="BX52" s="52" t="str">
        <f t="shared" si="99"/>
        <v>桜台ウィングス</v>
      </c>
    </row>
    <row r="53" spans="1:76" ht="19.5" customHeight="1">
      <c r="A53" s="107"/>
      <c r="B53" s="43"/>
      <c r="C53" s="44"/>
      <c r="D53" s="44"/>
      <c r="E53" s="45"/>
      <c r="F53" s="43"/>
      <c r="G53" s="44"/>
      <c r="H53" s="44"/>
      <c r="I53" s="45"/>
      <c r="J53" s="43"/>
      <c r="K53" s="44"/>
      <c r="L53" s="44"/>
      <c r="M53" s="45"/>
      <c r="N53" s="43"/>
      <c r="O53" s="44"/>
      <c r="P53" s="44"/>
      <c r="Q53" s="45"/>
      <c r="R53" s="43"/>
      <c r="S53" s="44"/>
      <c r="T53" s="44"/>
      <c r="U53" s="45"/>
      <c r="V53" s="43"/>
      <c r="W53" s="44"/>
      <c r="X53" s="44"/>
      <c r="Y53" s="45"/>
      <c r="Z53" s="43"/>
      <c r="AA53" s="44"/>
      <c r="AB53" s="44"/>
      <c r="AC53" s="45"/>
      <c r="AD53" s="43"/>
      <c r="AE53" s="44"/>
      <c r="AF53" s="44"/>
      <c r="AG53" s="45"/>
      <c r="AH53" s="43"/>
      <c r="AI53" s="44">
        <f>IF(AG54="","",AG54)</f>
      </c>
      <c r="AJ53" s="44"/>
      <c r="AK53" s="45">
        <f>IF(AE54="","",AE54)</f>
      </c>
      <c r="AL53" s="43"/>
      <c r="AM53" s="44">
        <f>IF(AG55="","",AG55)</f>
      </c>
      <c r="AN53" s="44"/>
      <c r="AO53" s="45">
        <f>IF(AE55="","",AE55)</f>
      </c>
      <c r="AP53" s="43"/>
      <c r="AQ53" s="44">
        <f>IF(AC56="","",AC56)</f>
      </c>
      <c r="AR53" s="44"/>
      <c r="AS53" s="45">
        <f>IF(AA56="","",AA56)</f>
      </c>
      <c r="AT53" s="47"/>
      <c r="AU53" s="37"/>
      <c r="AV53" s="37"/>
      <c r="AW53" s="38"/>
      <c r="AX53" s="39"/>
      <c r="AY53" s="40"/>
      <c r="AZ53" s="41"/>
      <c r="BA53" s="37"/>
      <c r="BB53" s="37"/>
      <c r="BC53" s="37"/>
      <c r="BF53" s="49"/>
      <c r="BG53" s="51"/>
      <c r="BH53" s="49"/>
      <c r="BI53" s="49"/>
      <c r="BJ53" s="49"/>
      <c r="BK53" s="49"/>
      <c r="BL53" s="50"/>
      <c r="BM53" s="52"/>
      <c r="BN53" s="52"/>
      <c r="BO53" s="52"/>
      <c r="BP53" s="52"/>
      <c r="BQ53" s="62"/>
      <c r="BS53" s="49"/>
      <c r="BT53" s="51"/>
      <c r="BU53" s="49"/>
      <c r="BV53" s="49"/>
      <c r="BW53" s="50"/>
      <c r="BX53" s="52"/>
    </row>
    <row r="54" spans="1:76" ht="19.5" customHeight="1">
      <c r="A54" s="107"/>
      <c r="B54" s="43"/>
      <c r="C54" s="44"/>
      <c r="D54" s="44"/>
      <c r="E54" s="45"/>
      <c r="F54" s="43"/>
      <c r="G54" s="44"/>
      <c r="H54" s="44"/>
      <c r="I54" s="45"/>
      <c r="J54" s="43"/>
      <c r="K54" s="44"/>
      <c r="L54" s="44"/>
      <c r="M54" s="45"/>
      <c r="N54" s="43"/>
      <c r="O54" s="44"/>
      <c r="P54" s="44"/>
      <c r="Q54" s="45"/>
      <c r="R54" s="43"/>
      <c r="S54" s="44"/>
      <c r="T54" s="44"/>
      <c r="U54" s="45"/>
      <c r="V54" s="43"/>
      <c r="W54" s="44"/>
      <c r="X54" s="44"/>
      <c r="Y54" s="45"/>
      <c r="Z54" s="43"/>
      <c r="AA54" s="44"/>
      <c r="AB54" s="44"/>
      <c r="AC54" s="45"/>
      <c r="AD54" s="43"/>
      <c r="AE54" s="44"/>
      <c r="AF54" s="44"/>
      <c r="AG54" s="45"/>
      <c r="AH54" s="44"/>
      <c r="AI54" s="44"/>
      <c r="AJ54" s="44"/>
      <c r="AK54" s="44"/>
      <c r="AL54" s="43"/>
      <c r="AM54" s="44">
        <f>IF(AK55="","",AK55)</f>
      </c>
      <c r="AN54" s="44"/>
      <c r="AO54" s="45">
        <f>IF(AI55="","",AI55)</f>
      </c>
      <c r="AP54" s="43"/>
      <c r="AQ54" s="44">
        <f>IF(AK56="","",AK56)</f>
      </c>
      <c r="AR54" s="44"/>
      <c r="AS54" s="45">
        <f>IF(AI56="","",AI56)</f>
      </c>
      <c r="AT54" s="47"/>
      <c r="AU54" s="37"/>
      <c r="AV54" s="37"/>
      <c r="AW54" s="38"/>
      <c r="AX54" s="39"/>
      <c r="AY54" s="40"/>
      <c r="AZ54" s="41"/>
      <c r="BA54" s="37"/>
      <c r="BB54" s="37"/>
      <c r="BC54" s="37"/>
      <c r="BF54" s="49"/>
      <c r="BG54" s="51"/>
      <c r="BH54" s="49"/>
      <c r="BI54" s="49"/>
      <c r="BJ54" s="49"/>
      <c r="BK54" s="49"/>
      <c r="BL54" s="50"/>
      <c r="BM54" s="52"/>
      <c r="BN54" s="52"/>
      <c r="BO54" s="52"/>
      <c r="BP54" s="52"/>
      <c r="BQ54" s="62"/>
      <c r="BS54" s="49"/>
      <c r="BT54" s="51"/>
      <c r="BU54" s="49"/>
      <c r="BV54" s="49"/>
      <c r="BW54" s="50"/>
      <c r="BX54" s="52"/>
    </row>
    <row r="55" spans="1:76" ht="19.5" customHeight="1">
      <c r="A55" s="107"/>
      <c r="B55" s="43"/>
      <c r="C55" s="44"/>
      <c r="D55" s="44"/>
      <c r="E55" s="45"/>
      <c r="F55" s="43"/>
      <c r="G55" s="44"/>
      <c r="H55" s="44"/>
      <c r="I55" s="45"/>
      <c r="J55" s="43"/>
      <c r="K55" s="44"/>
      <c r="L55" s="44"/>
      <c r="M55" s="45"/>
      <c r="N55" s="43"/>
      <c r="O55" s="44"/>
      <c r="P55" s="44"/>
      <c r="Q55" s="45"/>
      <c r="R55" s="43"/>
      <c r="S55" s="44"/>
      <c r="T55" s="44"/>
      <c r="U55" s="45"/>
      <c r="V55" s="43"/>
      <c r="W55" s="44"/>
      <c r="X55" s="44"/>
      <c r="Y55" s="45"/>
      <c r="Z55" s="43"/>
      <c r="AA55" s="44"/>
      <c r="AB55" s="44"/>
      <c r="AC55" s="45"/>
      <c r="AD55" s="43"/>
      <c r="AE55" s="44"/>
      <c r="AF55" s="44"/>
      <c r="AG55" s="45"/>
      <c r="AH55" s="44"/>
      <c r="AI55" s="44"/>
      <c r="AJ55" s="44"/>
      <c r="AK55" s="44"/>
      <c r="AL55" s="43"/>
      <c r="AM55" s="44"/>
      <c r="AN55" s="44"/>
      <c r="AO55" s="45"/>
      <c r="AP55" s="43"/>
      <c r="AQ55" s="44">
        <f>IF(AO56="","",AO56)</f>
      </c>
      <c r="AR55" s="44"/>
      <c r="AS55" s="45">
        <f>IF(AM56="","",AM56)</f>
      </c>
      <c r="AT55" s="47"/>
      <c r="AU55" s="37"/>
      <c r="AV55" s="37"/>
      <c r="AW55" s="38"/>
      <c r="AX55" s="39"/>
      <c r="AY55" s="40"/>
      <c r="AZ55" s="41"/>
      <c r="BA55" s="37"/>
      <c r="BB55" s="37"/>
      <c r="BC55" s="37"/>
      <c r="BF55" s="49"/>
      <c r="BG55" s="51"/>
      <c r="BH55" s="49"/>
      <c r="BI55" s="49"/>
      <c r="BJ55" s="49"/>
      <c r="BK55" s="49"/>
      <c r="BL55" s="50"/>
      <c r="BM55" s="52"/>
      <c r="BN55" s="52"/>
      <c r="BO55" s="52"/>
      <c r="BP55" s="52"/>
      <c r="BQ55" s="62"/>
      <c r="BS55" s="49"/>
      <c r="BT55" s="51"/>
      <c r="BU55" s="49"/>
      <c r="BV55" s="49"/>
      <c r="BW55" s="50"/>
      <c r="BX55" s="52"/>
    </row>
    <row r="56" spans="1:76" ht="19.5" customHeight="1">
      <c r="A56" s="86"/>
      <c r="B56" s="43"/>
      <c r="C56" s="44"/>
      <c r="D56" s="44"/>
      <c r="E56" s="45"/>
      <c r="F56" s="43"/>
      <c r="G56" s="44"/>
      <c r="H56" s="44"/>
      <c r="I56" s="45"/>
      <c r="J56" s="43"/>
      <c r="K56" s="44"/>
      <c r="L56" s="44"/>
      <c r="M56" s="45"/>
      <c r="N56" s="43"/>
      <c r="O56" s="44"/>
      <c r="P56" s="44"/>
      <c r="Q56" s="45"/>
      <c r="R56" s="43"/>
      <c r="S56" s="44"/>
      <c r="T56" s="44"/>
      <c r="U56" s="45"/>
      <c r="V56" s="43"/>
      <c r="W56" s="44"/>
      <c r="X56" s="44"/>
      <c r="Y56" s="45"/>
      <c r="Z56" s="43"/>
      <c r="AA56" s="44"/>
      <c r="AB56" s="44"/>
      <c r="AC56" s="45"/>
      <c r="AD56" s="43"/>
      <c r="AE56" s="44"/>
      <c r="AF56" s="44"/>
      <c r="AG56" s="45"/>
      <c r="AH56" s="44"/>
      <c r="AI56" s="44"/>
      <c r="AJ56" s="44"/>
      <c r="AK56" s="44"/>
      <c r="AL56" s="43"/>
      <c r="AM56" s="44"/>
      <c r="AN56" s="44"/>
      <c r="AO56" s="45"/>
      <c r="AP56" s="43"/>
      <c r="AQ56" s="44"/>
      <c r="AR56" s="44"/>
      <c r="AS56" s="45"/>
      <c r="AT56" s="47"/>
      <c r="AU56" s="37"/>
      <c r="AV56" s="37"/>
      <c r="AW56" s="38"/>
      <c r="AX56" s="39"/>
      <c r="AY56" s="40"/>
      <c r="AZ56" s="41"/>
      <c r="BA56" s="37"/>
      <c r="BB56" s="37"/>
      <c r="BC56" s="37"/>
      <c r="BF56" s="49"/>
      <c r="BG56" s="51"/>
      <c r="BH56" s="49"/>
      <c r="BI56" s="49"/>
      <c r="BJ56" s="49"/>
      <c r="BK56" s="49"/>
      <c r="BL56" s="50"/>
      <c r="BM56" s="52"/>
      <c r="BN56" s="52"/>
      <c r="BO56" s="52"/>
      <c r="BP56" s="52"/>
      <c r="BQ56" s="62"/>
      <c r="BS56" s="49"/>
      <c r="BT56" s="51"/>
      <c r="BU56" s="49"/>
      <c r="BV56" s="49"/>
      <c r="BW56" s="50"/>
      <c r="BX56" s="52"/>
    </row>
    <row r="57" spans="1:74" ht="19.5" customHeight="1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8"/>
      <c r="AH57" s="8"/>
      <c r="AI57" s="8"/>
      <c r="AJ57" s="8"/>
      <c r="AK57" s="8"/>
      <c r="AL57" s="8"/>
      <c r="AM57" s="8"/>
      <c r="AN57" s="27"/>
      <c r="AO57" s="1"/>
      <c r="AP57" s="1"/>
      <c r="AQ57" s="1"/>
      <c r="AR57" s="1"/>
      <c r="AS57" s="1"/>
      <c r="AT57" s="7">
        <f>SUM(AT46:AT56)</f>
        <v>19</v>
      </c>
      <c r="AU57" s="7">
        <f>SUM(AU46:AU56)</f>
        <v>19</v>
      </c>
      <c r="AV57" s="7">
        <f>SUM(AV46:AV56)</f>
        <v>0</v>
      </c>
      <c r="AW57" s="7"/>
      <c r="AX57" s="7"/>
      <c r="AY57" s="7"/>
      <c r="AZ57" s="7"/>
      <c r="BA57" s="7">
        <f>SUM(BA46:BA56)</f>
        <v>234</v>
      </c>
      <c r="BB57" s="7">
        <f>SUM(BB46:BB56)</f>
        <v>234</v>
      </c>
      <c r="BC57" s="7">
        <f>SUM(BC46:BC56)</f>
        <v>0</v>
      </c>
      <c r="BU57" s="60">
        <f>SUM(BU46:BU56)/2</f>
        <v>19</v>
      </c>
      <c r="BV57" s="3">
        <f>7*6/2</f>
        <v>21</v>
      </c>
    </row>
    <row r="58" spans="1:55" ht="19.5" customHeight="1">
      <c r="A58" s="166" t="s">
        <v>6</v>
      </c>
      <c r="B58" s="166"/>
      <c r="C58" s="166"/>
      <c r="D58" s="166"/>
      <c r="E58" s="166"/>
      <c r="F58" s="166"/>
      <c r="G58" s="166"/>
      <c r="H58" s="166"/>
      <c r="I58" s="1"/>
      <c r="J58" s="1"/>
      <c r="K58" s="1"/>
      <c r="L58" s="1"/>
      <c r="M58" s="1"/>
      <c r="N58" s="1"/>
      <c r="O58" s="14"/>
      <c r="P58" s="7"/>
      <c r="Q58" s="15"/>
      <c r="R58" s="179"/>
      <c r="S58" s="179"/>
      <c r="T58" s="16"/>
      <c r="U58" s="16"/>
      <c r="V58" s="179"/>
      <c r="W58" s="179"/>
      <c r="X58" s="16"/>
      <c r="Y58" s="16"/>
      <c r="Z58" s="16"/>
      <c r="AA58" s="16"/>
      <c r="AB58" s="16"/>
      <c r="AC58" s="16"/>
      <c r="AD58" s="7"/>
      <c r="AE58" s="17"/>
      <c r="AF58" s="17"/>
      <c r="AG58" s="17"/>
      <c r="AH58" s="17"/>
      <c r="AI58" s="17"/>
      <c r="AJ58" s="17"/>
      <c r="AK58" s="17"/>
      <c r="AL58" s="17"/>
      <c r="AM58" s="1"/>
      <c r="AN58" s="2"/>
      <c r="AO58" s="1"/>
      <c r="AP58" s="1"/>
      <c r="AQ58" s="1"/>
      <c r="AR58" s="1"/>
      <c r="AS58" s="1"/>
      <c r="AT58" s="67">
        <f>IF(AT57=AU57,"","計算間違い")</f>
      </c>
      <c r="AU58" s="1"/>
      <c r="AV58" s="1"/>
      <c r="AW58" s="1"/>
      <c r="AX58" s="67">
        <f>IF(AV56/2=TRUNC(AV56/2,0),"","計算間違い")</f>
      </c>
      <c r="AY58" s="1"/>
      <c r="AZ58" s="1"/>
      <c r="BA58" s="1"/>
      <c r="BB58" s="1"/>
      <c r="BC58" s="1"/>
    </row>
    <row r="59" spans="1:55" ht="19.5" customHeight="1">
      <c r="A59" s="79"/>
      <c r="B59" s="1"/>
      <c r="C59" s="1"/>
      <c r="D59" s="1"/>
      <c r="E59" s="7"/>
      <c r="F59" s="7"/>
      <c r="G59" s="7"/>
      <c r="H59" s="82"/>
      <c r="I59" s="83"/>
      <c r="J59" s="83"/>
      <c r="K59" s="83"/>
      <c r="L59" s="10"/>
      <c r="M59" s="10"/>
      <c r="N59" s="10"/>
      <c r="O59" s="10"/>
      <c r="P59" s="10"/>
      <c r="Q59" s="15"/>
      <c r="R59" s="179"/>
      <c r="S59" s="179"/>
      <c r="T59" s="16"/>
      <c r="U59" s="16"/>
      <c r="V59" s="179"/>
      <c r="W59" s="179"/>
      <c r="X59" s="16"/>
      <c r="Y59" s="16"/>
      <c r="Z59" s="16"/>
      <c r="AA59" s="16"/>
      <c r="AB59" s="16"/>
      <c r="AC59" s="16"/>
      <c r="AD59" s="7"/>
      <c r="AE59" s="17"/>
      <c r="AF59" s="17"/>
      <c r="AG59" s="17"/>
      <c r="AH59" s="17"/>
      <c r="AI59" s="17"/>
      <c r="AJ59" s="17"/>
      <c r="AK59" s="17"/>
      <c r="AL59" s="17"/>
      <c r="AM59" s="1"/>
      <c r="AN59" s="2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75" ht="19.5" customHeight="1">
      <c r="A60" s="79"/>
      <c r="B60" s="11"/>
      <c r="C60" s="134"/>
      <c r="D60" s="123"/>
      <c r="E60" s="101"/>
      <c r="F60" s="81"/>
      <c r="G60" s="182"/>
      <c r="H60" s="182"/>
      <c r="I60" s="75"/>
      <c r="J60" s="104"/>
      <c r="K60" s="104"/>
      <c r="L60" s="132"/>
      <c r="M60" s="13"/>
      <c r="N60" s="1"/>
      <c r="O60" s="26"/>
      <c r="P60" s="178"/>
      <c r="Q60" s="178"/>
      <c r="R60" s="179"/>
      <c r="S60" s="179"/>
      <c r="T60" s="180"/>
      <c r="U60" s="180"/>
      <c r="V60" s="179"/>
      <c r="W60" s="179"/>
      <c r="X60" s="180"/>
      <c r="Y60" s="180"/>
      <c r="Z60" s="21"/>
      <c r="AA60" s="21"/>
      <c r="AB60" s="21"/>
      <c r="AC60" s="21"/>
      <c r="AD60" s="178"/>
      <c r="AE60" s="178"/>
      <c r="AF60" s="1"/>
      <c r="AG60" s="1"/>
      <c r="AH60" s="1"/>
      <c r="AI60" s="1"/>
      <c r="AJ60" s="1"/>
      <c r="AK60" s="1"/>
      <c r="AL60" s="1"/>
      <c r="AM60" s="1"/>
      <c r="AN60" s="2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U60" s="60">
        <f>+BU57+BU43+BU29+BU15</f>
        <v>84</v>
      </c>
      <c r="BV60" s="70">
        <f>+BV57+BV43+BV29+BV15</f>
        <v>91</v>
      </c>
      <c r="BW60" s="60">
        <f>+BU60/BV60</f>
        <v>0.9230769230769231</v>
      </c>
    </row>
    <row r="61" spans="1:55" ht="19.5" customHeight="1">
      <c r="A61" s="79"/>
      <c r="B61" s="110"/>
      <c r="C61" s="136"/>
      <c r="D61" s="20"/>
      <c r="E61" s="21"/>
      <c r="F61" s="24"/>
      <c r="G61" s="73"/>
      <c r="H61" s="17"/>
      <c r="I61" s="102"/>
      <c r="J61" s="74"/>
      <c r="K61" s="74"/>
      <c r="L61" s="74"/>
      <c r="M61" s="74"/>
      <c r="N61" s="135"/>
      <c r="O61" s="26"/>
      <c r="P61" s="178"/>
      <c r="Q61" s="178"/>
      <c r="R61" s="7"/>
      <c r="S61" s="7"/>
      <c r="T61" s="180"/>
      <c r="U61" s="180"/>
      <c r="V61" s="7"/>
      <c r="W61" s="7"/>
      <c r="X61" s="180"/>
      <c r="Y61" s="180"/>
      <c r="Z61" s="21"/>
      <c r="AA61" s="21"/>
      <c r="AB61" s="21"/>
      <c r="AC61" s="21"/>
      <c r="AD61" s="178"/>
      <c r="AE61" s="178"/>
      <c r="AF61" s="1"/>
      <c r="AG61" s="1"/>
      <c r="AH61" s="1"/>
      <c r="AI61" s="1"/>
      <c r="AJ61" s="1"/>
      <c r="AK61" s="1"/>
      <c r="AL61" s="1"/>
      <c r="AM61" s="1"/>
      <c r="AN61" s="2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9.5" customHeight="1">
      <c r="A62" s="79"/>
      <c r="B62" s="96"/>
      <c r="C62" s="131"/>
      <c r="D62" s="20"/>
      <c r="E62" s="21"/>
      <c r="F62" s="25"/>
      <c r="G62" s="12"/>
      <c r="H62" s="17"/>
      <c r="I62" s="103"/>
      <c r="J62" s="12"/>
      <c r="K62" s="12"/>
      <c r="L62" s="15"/>
      <c r="M62" s="13"/>
      <c r="N62" s="113"/>
      <c r="O62" s="26"/>
      <c r="P62" s="178"/>
      <c r="Q62" s="178"/>
      <c r="R62" s="7"/>
      <c r="S62" s="7"/>
      <c r="T62" s="180"/>
      <c r="U62" s="180"/>
      <c r="V62" s="7"/>
      <c r="W62" s="7"/>
      <c r="X62" s="180"/>
      <c r="Y62" s="180"/>
      <c r="Z62" s="21"/>
      <c r="AA62" s="21"/>
      <c r="AB62" s="21"/>
      <c r="AC62" s="21"/>
      <c r="AD62" s="178"/>
      <c r="AE62" s="178"/>
      <c r="AF62" s="1"/>
      <c r="AG62" s="1"/>
      <c r="AH62" s="1"/>
      <c r="AI62" s="1"/>
      <c r="AJ62" s="1"/>
      <c r="AK62" s="1"/>
      <c r="AL62" s="1"/>
      <c r="AM62" s="1"/>
      <c r="AN62" s="2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9.5" customHeight="1">
      <c r="A63" s="1"/>
      <c r="B63" s="170" t="s">
        <v>78</v>
      </c>
      <c r="C63" s="171"/>
      <c r="D63" s="28"/>
      <c r="E63" s="28"/>
      <c r="F63" s="170" t="str">
        <f>+A18</f>
        <v>小金原ビクトリー</v>
      </c>
      <c r="G63" s="171"/>
      <c r="H63" s="29"/>
      <c r="I63" s="170" t="str">
        <f>+A37</f>
        <v>沼南フラワーズ</v>
      </c>
      <c r="J63" s="171"/>
      <c r="K63" s="30"/>
      <c r="L63" s="30"/>
      <c r="M63" s="170" t="str">
        <f>+A46</f>
        <v>松戸中央エンジェルス</v>
      </c>
      <c r="N63" s="171"/>
      <c r="O63" s="26"/>
      <c r="P63" s="178"/>
      <c r="Q63" s="178"/>
      <c r="R63" s="7"/>
      <c r="S63" s="7"/>
      <c r="T63" s="180"/>
      <c r="U63" s="180"/>
      <c r="V63" s="7"/>
      <c r="W63" s="7"/>
      <c r="X63" s="180"/>
      <c r="Y63" s="180"/>
      <c r="Z63" s="21"/>
      <c r="AA63" s="21"/>
      <c r="AB63" s="21"/>
      <c r="AC63" s="21"/>
      <c r="AD63" s="178"/>
      <c r="AE63" s="178"/>
      <c r="AF63" s="1"/>
      <c r="AG63" s="1"/>
      <c r="AH63" s="1"/>
      <c r="AI63" s="1"/>
      <c r="AJ63" s="1"/>
      <c r="AK63" s="1"/>
      <c r="AL63" s="1"/>
      <c r="AM63" s="1"/>
      <c r="AN63" s="2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9.5" customHeight="1">
      <c r="A64" s="1"/>
      <c r="B64" s="172"/>
      <c r="C64" s="173"/>
      <c r="D64" s="28"/>
      <c r="E64" s="28"/>
      <c r="F64" s="172"/>
      <c r="G64" s="173"/>
      <c r="H64" s="29"/>
      <c r="I64" s="172"/>
      <c r="J64" s="173"/>
      <c r="K64" s="30"/>
      <c r="L64" s="30"/>
      <c r="M64" s="172"/>
      <c r="N64" s="17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2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19.5" customHeight="1">
      <c r="A65" s="1"/>
      <c r="B65" s="172"/>
      <c r="C65" s="173"/>
      <c r="D65" s="28"/>
      <c r="E65" s="28"/>
      <c r="F65" s="172"/>
      <c r="G65" s="173"/>
      <c r="H65" s="29"/>
      <c r="I65" s="172"/>
      <c r="J65" s="173"/>
      <c r="K65" s="30"/>
      <c r="L65" s="30"/>
      <c r="M65" s="172"/>
      <c r="N65" s="173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2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60" customHeight="1">
      <c r="A66" s="1"/>
      <c r="B66" s="174"/>
      <c r="C66" s="175"/>
      <c r="D66" s="28"/>
      <c r="E66" s="28"/>
      <c r="F66" s="174"/>
      <c r="G66" s="175"/>
      <c r="H66" s="29"/>
      <c r="I66" s="174"/>
      <c r="J66" s="175"/>
      <c r="K66" s="30"/>
      <c r="L66" s="30"/>
      <c r="M66" s="174"/>
      <c r="N66" s="175"/>
      <c r="O66" s="1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47" ht="19.5" customHeight="1">
      <c r="A67" s="1"/>
      <c r="B67" s="1"/>
      <c r="C67" s="1"/>
      <c r="D67" s="1"/>
      <c r="E67" s="166"/>
      <c r="F67" s="183"/>
      <c r="G67" s="7"/>
      <c r="H67" s="7"/>
      <c r="I67" s="137"/>
      <c r="J67" s="184"/>
      <c r="K67" s="18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2"/>
      <c r="AO67" s="1"/>
      <c r="AP67" s="1"/>
      <c r="AQ67" s="1"/>
      <c r="AR67" s="1"/>
      <c r="AS67" s="1"/>
      <c r="AT67" s="1"/>
      <c r="AU67" s="1"/>
    </row>
    <row r="68" spans="30:47" ht="19.5" customHeight="1"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2"/>
      <c r="AO68" s="1"/>
      <c r="AP68" s="1"/>
      <c r="AQ68" s="1"/>
      <c r="AR68" s="1"/>
      <c r="AS68" s="1"/>
      <c r="AT68" s="1"/>
      <c r="AU68" s="1"/>
    </row>
    <row r="69" spans="30:47" ht="19.5" customHeight="1"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2"/>
      <c r="AO69" s="1"/>
      <c r="AP69" s="1"/>
      <c r="AQ69" s="1"/>
      <c r="AR69" s="1"/>
      <c r="AS69" s="1"/>
      <c r="AT69" s="1"/>
      <c r="AU69" s="1"/>
    </row>
    <row r="70" spans="3:47" ht="19.5" customHeight="1">
      <c r="C70" s="87">
        <f>+'Ｂ戦'!C70</f>
        <v>41185</v>
      </c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2"/>
      <c r="AO70" s="1"/>
      <c r="AP70" s="1"/>
      <c r="AQ70" s="1"/>
      <c r="AR70" s="1"/>
      <c r="AS70" s="1"/>
      <c r="AT70" s="1"/>
      <c r="AU70" s="1"/>
    </row>
    <row r="71" spans="3:47" ht="19.5" customHeight="1">
      <c r="C71" s="87">
        <f>+'Ｂ戦'!C71</f>
        <v>41268</v>
      </c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2"/>
      <c r="AO71" s="1"/>
      <c r="AP71" s="1"/>
      <c r="AQ71" s="1"/>
      <c r="AR71" s="1"/>
      <c r="AS71" s="1"/>
      <c r="AT71" s="1"/>
      <c r="AU71" s="1"/>
    </row>
    <row r="72" spans="30:47" ht="19.5" customHeight="1"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2"/>
      <c r="AO72" s="1"/>
      <c r="AP72" s="1"/>
      <c r="AQ72" s="1"/>
      <c r="AR72" s="1"/>
      <c r="AS72" s="1"/>
      <c r="AT72" s="1"/>
      <c r="AU72" s="1"/>
    </row>
    <row r="73" spans="30:47" ht="19.5" customHeight="1"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2"/>
      <c r="AO73" s="1"/>
      <c r="AP73" s="1"/>
      <c r="AQ73" s="1"/>
      <c r="AR73" s="1"/>
      <c r="AS73" s="1"/>
      <c r="AT73" s="1"/>
      <c r="AU73" s="1"/>
    </row>
    <row r="74" spans="30:47" ht="19.5" customHeight="1"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2"/>
      <c r="AO74" s="1"/>
      <c r="AP74" s="1"/>
      <c r="AQ74" s="1"/>
      <c r="AR74" s="1"/>
      <c r="AS74" s="1"/>
      <c r="AT74" s="1"/>
      <c r="AU74" s="1"/>
    </row>
    <row r="75" spans="30:47" ht="19.5" customHeight="1"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2"/>
      <c r="AO75" s="1"/>
      <c r="AP75" s="1"/>
      <c r="AQ75" s="1"/>
      <c r="AR75" s="1"/>
      <c r="AS75" s="1"/>
      <c r="AT75" s="1"/>
      <c r="AU75" s="1"/>
    </row>
    <row r="76" spans="30:47" ht="19.5" customHeight="1"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2"/>
      <c r="AO76" s="1"/>
      <c r="AP76" s="1"/>
      <c r="AQ76" s="1"/>
      <c r="AR76" s="1"/>
      <c r="AS76" s="1"/>
      <c r="AT76" s="1"/>
      <c r="AU76" s="1"/>
    </row>
    <row r="77" spans="30:47" ht="19.5" customHeight="1"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2"/>
      <c r="AO77" s="1"/>
      <c r="AP77" s="1"/>
      <c r="AQ77" s="1"/>
      <c r="AR77" s="1"/>
      <c r="AS77" s="1"/>
      <c r="AT77" s="1"/>
      <c r="AU77" s="1"/>
    </row>
    <row r="78" spans="30:47" ht="19.5" customHeight="1"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2"/>
      <c r="AO78" s="1"/>
      <c r="AP78" s="1"/>
      <c r="AQ78" s="1"/>
      <c r="AR78" s="1"/>
      <c r="AS78" s="1"/>
      <c r="AT78" s="1"/>
      <c r="AU78" s="1"/>
    </row>
    <row r="79" spans="30:47" ht="19.5" customHeight="1"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2"/>
      <c r="AO79" s="1"/>
      <c r="AP79" s="1"/>
      <c r="AQ79" s="1"/>
      <c r="AR79" s="1"/>
      <c r="AS79" s="1"/>
      <c r="AT79" s="1"/>
      <c r="AU79" s="1"/>
    </row>
    <row r="80" spans="30:47" ht="19.5" customHeight="1"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2"/>
      <c r="AO80" s="1"/>
      <c r="AP80" s="1"/>
      <c r="AQ80" s="1"/>
      <c r="AR80" s="1"/>
      <c r="AS80" s="1"/>
      <c r="AT80" s="1"/>
      <c r="AU80" s="1"/>
    </row>
    <row r="81" spans="30:47" ht="19.5" customHeight="1"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2"/>
      <c r="AO81" s="1"/>
      <c r="AP81" s="1"/>
      <c r="AQ81" s="1"/>
      <c r="AR81" s="1"/>
      <c r="AS81" s="1"/>
      <c r="AT81" s="1"/>
      <c r="AU81" s="1"/>
    </row>
    <row r="82" spans="30:47" ht="19.5" customHeight="1"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2"/>
      <c r="AO82" s="1"/>
      <c r="AP82" s="1"/>
      <c r="AQ82" s="1"/>
      <c r="AR82" s="1"/>
      <c r="AS82" s="1"/>
      <c r="AT82" s="1"/>
      <c r="AU82" s="1"/>
    </row>
    <row r="83" spans="30:47" ht="19.5" customHeight="1"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2"/>
      <c r="AO83" s="1"/>
      <c r="AP83" s="1"/>
      <c r="AQ83" s="1"/>
      <c r="AR83" s="1"/>
      <c r="AS83" s="1"/>
      <c r="AT83" s="1"/>
      <c r="AU83" s="1"/>
    </row>
    <row r="84" spans="30:47" ht="19.5" customHeight="1"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2"/>
      <c r="AO84" s="1"/>
      <c r="AP84" s="1"/>
      <c r="AQ84" s="1"/>
      <c r="AR84" s="1"/>
      <c r="AS84" s="1"/>
      <c r="AT84" s="1"/>
      <c r="AU84" s="1"/>
    </row>
    <row r="85" spans="30:47" ht="19.5" customHeight="1"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2"/>
      <c r="AO85" s="1"/>
      <c r="AP85" s="1"/>
      <c r="AQ85" s="1"/>
      <c r="AR85" s="1"/>
      <c r="AS85" s="1"/>
      <c r="AT85" s="1"/>
      <c r="AU85" s="1"/>
    </row>
    <row r="86" spans="30:47" ht="19.5" customHeight="1"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2"/>
      <c r="AO86" s="1"/>
      <c r="AP86" s="1"/>
      <c r="AQ86" s="1"/>
      <c r="AR86" s="1"/>
      <c r="AS86" s="1"/>
      <c r="AT86" s="1"/>
      <c r="AU86" s="1"/>
    </row>
    <row r="87" spans="30:47" ht="19.5" customHeight="1"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2"/>
      <c r="AO87" s="1"/>
      <c r="AP87" s="1"/>
      <c r="AQ87" s="1"/>
      <c r="AR87" s="1"/>
      <c r="AS87" s="1"/>
      <c r="AT87" s="1"/>
      <c r="AU87" s="1"/>
    </row>
    <row r="88" spans="30:47" ht="19.5" customHeight="1"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2"/>
      <c r="AO88" s="1"/>
      <c r="AP88" s="1"/>
      <c r="AQ88" s="1"/>
      <c r="AR88" s="1"/>
      <c r="AS88" s="1"/>
      <c r="AT88" s="1"/>
      <c r="AU88" s="1"/>
    </row>
    <row r="89" spans="30:47" ht="19.5" customHeight="1"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2"/>
      <c r="AO89" s="1"/>
      <c r="AP89" s="1"/>
      <c r="AQ89" s="1"/>
      <c r="AR89" s="1"/>
      <c r="AS89" s="1"/>
      <c r="AT89" s="1"/>
      <c r="AU89" s="1"/>
    </row>
    <row r="90" spans="30:47" ht="19.5" customHeight="1"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2"/>
      <c r="AO90" s="1"/>
      <c r="AP90" s="1"/>
      <c r="AQ90" s="1"/>
      <c r="AR90" s="1"/>
      <c r="AS90" s="1"/>
      <c r="AT90" s="1"/>
      <c r="AU90" s="1"/>
    </row>
    <row r="91" spans="30:47" ht="19.5" customHeight="1"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2"/>
      <c r="AO91" s="1"/>
      <c r="AP91" s="1"/>
      <c r="AQ91" s="1"/>
      <c r="AR91" s="1"/>
      <c r="AS91" s="1"/>
      <c r="AT91" s="1"/>
      <c r="AU91" s="1"/>
    </row>
    <row r="92" spans="30:47" ht="19.5" customHeight="1"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2"/>
      <c r="AO92" s="1"/>
      <c r="AP92" s="1"/>
      <c r="AQ92" s="1"/>
      <c r="AR92" s="1"/>
      <c r="AS92" s="1"/>
      <c r="AT92" s="1"/>
      <c r="AU92" s="1"/>
    </row>
    <row r="93" spans="30:47" ht="19.5" customHeight="1"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2"/>
      <c r="AO93" s="1"/>
      <c r="AP93" s="1"/>
      <c r="AQ93" s="1"/>
      <c r="AR93" s="1"/>
      <c r="AS93" s="1"/>
      <c r="AT93" s="1"/>
      <c r="AU93" s="1"/>
    </row>
    <row r="94" spans="30:47" ht="19.5" customHeight="1"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2"/>
      <c r="AO94" s="1"/>
      <c r="AP94" s="1"/>
      <c r="AQ94" s="1"/>
      <c r="AR94" s="1"/>
      <c r="AS94" s="1"/>
      <c r="AT94" s="1"/>
      <c r="AU94" s="1"/>
    </row>
    <row r="95" spans="30:47" ht="19.5" customHeight="1"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2"/>
      <c r="AO95" s="1"/>
      <c r="AP95" s="1"/>
      <c r="AQ95" s="1"/>
      <c r="AR95" s="1"/>
      <c r="AS95" s="1"/>
      <c r="AT95" s="1"/>
      <c r="AU95" s="1"/>
    </row>
    <row r="96" spans="30:47" ht="19.5" customHeight="1"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2"/>
      <c r="AO96" s="1"/>
      <c r="AP96" s="1"/>
      <c r="AQ96" s="1"/>
      <c r="AR96" s="1"/>
      <c r="AS96" s="1"/>
      <c r="AT96" s="1"/>
      <c r="AU96" s="1"/>
    </row>
    <row r="97" spans="30:47" ht="19.5" customHeight="1"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2"/>
      <c r="AO97" s="1"/>
      <c r="AP97" s="1"/>
      <c r="AQ97" s="1"/>
      <c r="AR97" s="1"/>
      <c r="AS97" s="1"/>
      <c r="AT97" s="1"/>
      <c r="AU97" s="1"/>
    </row>
    <row r="98" spans="30:47" ht="19.5" customHeight="1"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2"/>
      <c r="AO98" s="1"/>
      <c r="AP98" s="1"/>
      <c r="AQ98" s="1"/>
      <c r="AR98" s="1"/>
      <c r="AS98" s="1"/>
      <c r="AT98" s="1"/>
      <c r="AU98" s="1"/>
    </row>
    <row r="99" spans="30:47" ht="19.5" customHeight="1"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2"/>
      <c r="AO99" s="1"/>
      <c r="AP99" s="1"/>
      <c r="AQ99" s="1"/>
      <c r="AR99" s="1"/>
      <c r="AS99" s="1"/>
      <c r="AT99" s="1"/>
      <c r="AU99" s="1"/>
    </row>
    <row r="100" spans="30:47" ht="19.5" customHeight="1"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2"/>
      <c r="AO100" s="1"/>
      <c r="AP100" s="1"/>
      <c r="AQ100" s="1"/>
      <c r="AR100" s="1"/>
      <c r="AS100" s="1"/>
      <c r="AT100" s="1"/>
      <c r="AU100" s="1"/>
    </row>
    <row r="101" spans="30:47" ht="19.5" customHeight="1"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2"/>
      <c r="AO101" s="1"/>
      <c r="AP101" s="1"/>
      <c r="AQ101" s="1"/>
      <c r="AR101" s="1"/>
      <c r="AS101" s="1"/>
      <c r="AT101" s="1"/>
      <c r="AU101" s="1"/>
    </row>
    <row r="102" spans="30:47" ht="19.5" customHeight="1"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2"/>
      <c r="AO102" s="1"/>
      <c r="AP102" s="1"/>
      <c r="AQ102" s="1"/>
      <c r="AR102" s="1"/>
      <c r="AS102" s="1"/>
      <c r="AT102" s="1"/>
      <c r="AU102" s="1"/>
    </row>
    <row r="103" spans="30:47" ht="19.5" customHeight="1"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2"/>
      <c r="AO103" s="1"/>
      <c r="AP103" s="1"/>
      <c r="AQ103" s="1"/>
      <c r="AR103" s="1"/>
      <c r="AS103" s="1"/>
      <c r="AT103" s="1"/>
      <c r="AU103" s="1"/>
    </row>
    <row r="104" spans="30:47" ht="19.5" customHeight="1"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2"/>
      <c r="AO104" s="1"/>
      <c r="AP104" s="1"/>
      <c r="AQ104" s="1"/>
      <c r="AR104" s="1"/>
      <c r="AS104" s="1"/>
      <c r="AT104" s="1"/>
      <c r="AU104" s="1"/>
    </row>
    <row r="105" spans="30:47" ht="19.5" customHeight="1"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2"/>
      <c r="AO105" s="1"/>
      <c r="AP105" s="1"/>
      <c r="AQ105" s="1"/>
      <c r="AR105" s="1"/>
      <c r="AS105" s="1"/>
      <c r="AT105" s="1"/>
      <c r="AU105" s="1"/>
    </row>
    <row r="106" spans="30:47" ht="19.5" customHeight="1"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2"/>
      <c r="AO106" s="1"/>
      <c r="AP106" s="1"/>
      <c r="AQ106" s="1"/>
      <c r="AR106" s="1"/>
      <c r="AS106" s="1"/>
      <c r="AT106" s="1"/>
      <c r="AU106" s="1"/>
    </row>
    <row r="107" spans="30:47" ht="19.5" customHeight="1"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2"/>
      <c r="AO107" s="1"/>
      <c r="AP107" s="1"/>
      <c r="AQ107" s="1"/>
      <c r="AR107" s="1"/>
      <c r="AS107" s="1"/>
      <c r="AT107" s="1"/>
      <c r="AU107" s="1"/>
    </row>
    <row r="108" spans="30:47" ht="19.5" customHeight="1"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2"/>
      <c r="AO108" s="1"/>
      <c r="AP108" s="1"/>
      <c r="AQ108" s="1"/>
      <c r="AR108" s="1"/>
      <c r="AS108" s="1"/>
      <c r="AT108" s="1"/>
      <c r="AU108" s="1"/>
    </row>
    <row r="109" spans="30:47" ht="19.5" customHeight="1"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2"/>
      <c r="AO109" s="1"/>
      <c r="AP109" s="1"/>
      <c r="AQ109" s="1"/>
      <c r="AR109" s="1"/>
      <c r="AS109" s="1"/>
      <c r="AT109" s="1"/>
      <c r="AU109" s="1"/>
    </row>
    <row r="110" spans="30:47" ht="19.5" customHeight="1"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2"/>
      <c r="AO110" s="1"/>
      <c r="AP110" s="1"/>
      <c r="AQ110" s="1"/>
      <c r="AR110" s="1"/>
      <c r="AS110" s="1"/>
      <c r="AT110" s="1"/>
      <c r="AU110" s="1"/>
    </row>
    <row r="111" spans="30:47" ht="19.5" customHeight="1"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2"/>
      <c r="AO111" s="1"/>
      <c r="AP111" s="1"/>
      <c r="AQ111" s="1"/>
      <c r="AR111" s="1"/>
      <c r="AS111" s="1"/>
      <c r="AT111" s="1"/>
      <c r="AU111" s="1"/>
    </row>
    <row r="112" spans="30:47" ht="19.5" customHeight="1"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2"/>
      <c r="AO112" s="1"/>
      <c r="AP112" s="1"/>
      <c r="AQ112" s="1"/>
      <c r="AR112" s="1"/>
      <c r="AS112" s="1"/>
      <c r="AT112" s="1"/>
      <c r="AU112" s="1"/>
    </row>
    <row r="113" spans="30:47" ht="19.5" customHeight="1"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2"/>
      <c r="AO113" s="1"/>
      <c r="AP113" s="1"/>
      <c r="AQ113" s="1"/>
      <c r="AR113" s="1"/>
      <c r="AS113" s="1"/>
      <c r="AT113" s="1"/>
      <c r="AU113" s="1"/>
    </row>
    <row r="114" spans="30:47" ht="19.5" customHeight="1"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2"/>
      <c r="AO114" s="1"/>
      <c r="AP114" s="1"/>
      <c r="AQ114" s="1"/>
      <c r="AR114" s="1"/>
      <c r="AS114" s="1"/>
      <c r="AT114" s="1"/>
      <c r="AU114" s="1"/>
    </row>
    <row r="115" spans="30:47" ht="19.5" customHeight="1"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2"/>
      <c r="AO115" s="1"/>
      <c r="AP115" s="1"/>
      <c r="AQ115" s="1"/>
      <c r="AR115" s="1"/>
      <c r="AS115" s="1"/>
      <c r="AT115" s="1"/>
      <c r="AU115" s="1"/>
    </row>
    <row r="116" spans="30:47" ht="19.5" customHeight="1"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2"/>
      <c r="AO116" s="1"/>
      <c r="AP116" s="1"/>
      <c r="AQ116" s="1"/>
      <c r="AR116" s="1"/>
      <c r="AS116" s="1"/>
      <c r="AT116" s="1"/>
      <c r="AU116" s="1"/>
    </row>
    <row r="117" spans="30:47" ht="19.5" customHeight="1"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2"/>
      <c r="AO117" s="1"/>
      <c r="AP117" s="1"/>
      <c r="AQ117" s="1"/>
      <c r="AR117" s="1"/>
      <c r="AS117" s="1"/>
      <c r="AT117" s="1"/>
      <c r="AU117" s="1"/>
    </row>
    <row r="118" spans="30:47" ht="19.5" customHeight="1"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2"/>
      <c r="AO118" s="1"/>
      <c r="AP118" s="1"/>
      <c r="AQ118" s="1"/>
      <c r="AR118" s="1"/>
      <c r="AS118" s="1"/>
      <c r="AT118" s="1"/>
      <c r="AU118" s="1"/>
    </row>
    <row r="119" spans="30:47" ht="19.5" customHeight="1"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2"/>
      <c r="AO119" s="1"/>
      <c r="AP119" s="1"/>
      <c r="AQ119" s="1"/>
      <c r="AR119" s="1"/>
      <c r="AS119" s="1"/>
      <c r="AT119" s="1"/>
      <c r="AU119" s="1"/>
    </row>
    <row r="120" spans="30:47" ht="19.5" customHeight="1"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2"/>
      <c r="AO120" s="1"/>
      <c r="AP120" s="1"/>
      <c r="AQ120" s="1"/>
      <c r="AR120" s="1"/>
      <c r="AS120" s="1"/>
      <c r="AT120" s="1"/>
      <c r="AU120" s="1"/>
    </row>
    <row r="121" spans="30:47" ht="19.5" customHeight="1"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2"/>
      <c r="AO121" s="1"/>
      <c r="AP121" s="1"/>
      <c r="AQ121" s="1"/>
      <c r="AR121" s="1"/>
      <c r="AS121" s="1"/>
      <c r="AT121" s="1"/>
      <c r="AU121" s="1"/>
    </row>
    <row r="122" spans="30:47" ht="19.5" customHeight="1"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2"/>
      <c r="AO122" s="1"/>
      <c r="AP122" s="1"/>
      <c r="AQ122" s="1"/>
      <c r="AR122" s="1"/>
      <c r="AS122" s="1"/>
      <c r="AT122" s="1"/>
      <c r="AU122" s="1"/>
    </row>
    <row r="123" spans="30:47" ht="19.5" customHeight="1"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2"/>
      <c r="AO123" s="1"/>
      <c r="AP123" s="1"/>
      <c r="AQ123" s="1"/>
      <c r="AR123" s="1"/>
      <c r="AS123" s="1"/>
      <c r="AT123" s="1"/>
      <c r="AU123" s="1"/>
    </row>
    <row r="124" spans="30:47" ht="19.5" customHeight="1"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2"/>
      <c r="AO124" s="1"/>
      <c r="AP124" s="1"/>
      <c r="AQ124" s="1"/>
      <c r="AR124" s="1"/>
      <c r="AS124" s="1"/>
      <c r="AT124" s="1"/>
      <c r="AU124" s="1"/>
    </row>
    <row r="125" spans="30:47" ht="19.5" customHeight="1"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2"/>
      <c r="AO125" s="1"/>
      <c r="AP125" s="1"/>
      <c r="AQ125" s="1"/>
      <c r="AR125" s="1"/>
      <c r="AS125" s="1"/>
      <c r="AT125" s="1"/>
      <c r="AU125" s="1"/>
    </row>
    <row r="126" spans="30:47" ht="19.5" customHeight="1"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2"/>
      <c r="AO126" s="1"/>
      <c r="AP126" s="1"/>
      <c r="AQ126" s="1"/>
      <c r="AR126" s="1"/>
      <c r="AS126" s="1"/>
      <c r="AT126" s="1"/>
      <c r="AU126" s="1"/>
    </row>
    <row r="127" spans="30:47" ht="19.5" customHeight="1"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2"/>
      <c r="AO127" s="1"/>
      <c r="AP127" s="1"/>
      <c r="AQ127" s="1"/>
      <c r="AR127" s="1"/>
      <c r="AS127" s="1"/>
      <c r="AT127" s="1"/>
      <c r="AU127" s="1"/>
    </row>
    <row r="128" spans="30:47" ht="19.5" customHeight="1"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2"/>
      <c r="AO128" s="1"/>
      <c r="AP128" s="1"/>
      <c r="AQ128" s="1"/>
      <c r="AR128" s="1"/>
      <c r="AS128" s="1"/>
      <c r="AT128" s="1"/>
      <c r="AU128" s="1"/>
    </row>
    <row r="129" spans="30:47" ht="19.5" customHeight="1"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2"/>
      <c r="AO129" s="1"/>
      <c r="AP129" s="1"/>
      <c r="AQ129" s="1"/>
      <c r="AR129" s="1"/>
      <c r="AS129" s="1"/>
      <c r="AT129" s="1"/>
      <c r="AU129" s="1"/>
    </row>
    <row r="130" spans="30:47" ht="19.5" customHeight="1"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2"/>
      <c r="AO130" s="1"/>
      <c r="AP130" s="1"/>
      <c r="AQ130" s="1"/>
      <c r="AR130" s="1"/>
      <c r="AS130" s="1"/>
      <c r="AT130" s="1"/>
      <c r="AU130" s="1"/>
    </row>
    <row r="131" spans="30:47" ht="19.5" customHeight="1"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2"/>
      <c r="AO131" s="1"/>
      <c r="AP131" s="1"/>
      <c r="AQ131" s="1"/>
      <c r="AR131" s="1"/>
      <c r="AS131" s="1"/>
      <c r="AT131" s="1"/>
      <c r="AU131" s="1"/>
    </row>
    <row r="132" spans="30:47" ht="19.5" customHeight="1"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2"/>
      <c r="AO132" s="1"/>
      <c r="AP132" s="1"/>
      <c r="AQ132" s="1"/>
      <c r="AR132" s="1"/>
      <c r="AS132" s="1"/>
      <c r="AT132" s="1"/>
      <c r="AU132" s="1"/>
    </row>
    <row r="133" spans="30:47" ht="19.5" customHeight="1"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2"/>
      <c r="AO133" s="1"/>
      <c r="AP133" s="1"/>
      <c r="AQ133" s="1"/>
      <c r="AR133" s="1"/>
      <c r="AS133" s="1"/>
      <c r="AT133" s="1"/>
      <c r="AU133" s="1"/>
    </row>
    <row r="134" spans="30:47" ht="19.5" customHeight="1"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2"/>
      <c r="AO134" s="1"/>
      <c r="AP134" s="1"/>
      <c r="AQ134" s="1"/>
      <c r="AR134" s="1"/>
      <c r="AS134" s="1"/>
      <c r="AT134" s="1"/>
      <c r="AU134" s="1"/>
    </row>
    <row r="135" spans="30:47" ht="19.5" customHeight="1"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2"/>
      <c r="AO135" s="1"/>
      <c r="AP135" s="1"/>
      <c r="AQ135" s="1"/>
      <c r="AR135" s="1"/>
      <c r="AS135" s="1"/>
      <c r="AT135" s="1"/>
      <c r="AU135" s="1"/>
    </row>
    <row r="136" spans="30:47" ht="19.5" customHeight="1"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2"/>
      <c r="AO136" s="1"/>
      <c r="AP136" s="1"/>
      <c r="AQ136" s="1"/>
      <c r="AR136" s="1"/>
      <c r="AS136" s="1"/>
      <c r="AT136" s="1"/>
      <c r="AU136" s="1"/>
    </row>
    <row r="137" spans="30:47" ht="19.5" customHeight="1"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2"/>
      <c r="AO137" s="1"/>
      <c r="AP137" s="1"/>
      <c r="AQ137" s="1"/>
      <c r="AR137" s="1"/>
      <c r="AS137" s="1"/>
      <c r="AT137" s="1"/>
      <c r="AU137" s="1"/>
    </row>
    <row r="138" spans="30:47" ht="19.5" customHeight="1"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2"/>
      <c r="AO138" s="1"/>
      <c r="AP138" s="1"/>
      <c r="AQ138" s="1"/>
      <c r="AR138" s="1"/>
      <c r="AS138" s="1"/>
      <c r="AT138" s="1"/>
      <c r="AU138" s="1"/>
    </row>
    <row r="139" spans="30:47" ht="19.5" customHeight="1"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2"/>
      <c r="AO139" s="1"/>
      <c r="AP139" s="1"/>
      <c r="AQ139" s="1"/>
      <c r="AR139" s="1"/>
      <c r="AS139" s="1"/>
      <c r="AT139" s="1"/>
      <c r="AU139" s="1"/>
    </row>
    <row r="140" spans="30:47" ht="19.5" customHeight="1"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2"/>
      <c r="AO140" s="1"/>
      <c r="AP140" s="1"/>
      <c r="AQ140" s="1"/>
      <c r="AR140" s="1"/>
      <c r="AS140" s="1"/>
      <c r="AT140" s="1"/>
      <c r="AU140" s="1"/>
    </row>
    <row r="141" spans="30:47" ht="19.5" customHeight="1"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2"/>
      <c r="AO141" s="1"/>
      <c r="AP141" s="1"/>
      <c r="AQ141" s="1"/>
      <c r="AR141" s="1"/>
      <c r="AS141" s="1"/>
      <c r="AT141" s="1"/>
      <c r="AU141" s="1"/>
    </row>
    <row r="142" spans="30:47" ht="19.5" customHeight="1"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2"/>
      <c r="AO142" s="1"/>
      <c r="AP142" s="1"/>
      <c r="AQ142" s="1"/>
      <c r="AR142" s="1"/>
      <c r="AS142" s="1"/>
      <c r="AT142" s="1"/>
      <c r="AU142" s="1"/>
    </row>
    <row r="143" spans="30:47" ht="19.5" customHeight="1"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2"/>
      <c r="AO143" s="1"/>
      <c r="AP143" s="1"/>
      <c r="AQ143" s="1"/>
      <c r="AR143" s="1"/>
      <c r="AS143" s="1"/>
      <c r="AT143" s="1"/>
      <c r="AU143" s="1"/>
    </row>
    <row r="144" spans="30:47" ht="19.5" customHeight="1"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2"/>
      <c r="AO144" s="1"/>
      <c r="AP144" s="1"/>
      <c r="AQ144" s="1"/>
      <c r="AR144" s="1"/>
      <c r="AS144" s="1"/>
      <c r="AT144" s="1"/>
      <c r="AU144" s="1"/>
    </row>
    <row r="145" spans="30:47" ht="19.5" customHeight="1"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2"/>
      <c r="AO145" s="1"/>
      <c r="AP145" s="1"/>
      <c r="AQ145" s="1"/>
      <c r="AR145" s="1"/>
      <c r="AS145" s="1"/>
      <c r="AT145" s="1"/>
      <c r="AU145" s="1"/>
    </row>
    <row r="146" spans="30:47" ht="19.5" customHeight="1"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2"/>
      <c r="AO146" s="1"/>
      <c r="AP146" s="1"/>
      <c r="AQ146" s="1"/>
      <c r="AR146" s="1"/>
      <c r="AS146" s="1"/>
      <c r="AT146" s="1"/>
      <c r="AU146" s="1"/>
    </row>
    <row r="147" spans="30:47" ht="19.5" customHeight="1"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2"/>
      <c r="AO147" s="1"/>
      <c r="AP147" s="1"/>
      <c r="AQ147" s="1"/>
      <c r="AR147" s="1"/>
      <c r="AS147" s="1"/>
      <c r="AT147" s="1"/>
      <c r="AU147" s="1"/>
    </row>
    <row r="148" spans="30:47" ht="19.5" customHeight="1"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2"/>
      <c r="AO148" s="1"/>
      <c r="AP148" s="1"/>
      <c r="AQ148" s="1"/>
      <c r="AR148" s="1"/>
      <c r="AS148" s="1"/>
      <c r="AT148" s="1"/>
      <c r="AU148" s="1"/>
    </row>
    <row r="149" spans="30:47" ht="19.5" customHeight="1"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2"/>
      <c r="AO149" s="1"/>
      <c r="AP149" s="1"/>
      <c r="AQ149" s="1"/>
      <c r="AR149" s="1"/>
      <c r="AS149" s="1"/>
      <c r="AT149" s="1"/>
      <c r="AU149" s="1"/>
    </row>
    <row r="150" spans="30:47" ht="19.5" customHeight="1"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2"/>
      <c r="AO150" s="1"/>
      <c r="AP150" s="1"/>
      <c r="AQ150" s="1"/>
      <c r="AR150" s="1"/>
      <c r="AS150" s="1"/>
      <c r="AT150" s="1"/>
      <c r="AU150" s="1"/>
    </row>
    <row r="151" spans="30:47" ht="19.5" customHeight="1"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2"/>
      <c r="AO151" s="1"/>
      <c r="AP151" s="1"/>
      <c r="AQ151" s="1"/>
      <c r="AR151" s="1"/>
      <c r="AS151" s="1"/>
      <c r="AT151" s="1"/>
      <c r="AU151" s="1"/>
    </row>
    <row r="152" spans="30:47" ht="19.5" customHeight="1"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2"/>
      <c r="AO152" s="1"/>
      <c r="AP152" s="1"/>
      <c r="AQ152" s="1"/>
      <c r="AR152" s="1"/>
      <c r="AS152" s="1"/>
      <c r="AT152" s="1"/>
      <c r="AU152" s="1"/>
    </row>
    <row r="153" spans="30:47" ht="19.5" customHeight="1"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2"/>
      <c r="AO153" s="1"/>
      <c r="AP153" s="1"/>
      <c r="AQ153" s="1"/>
      <c r="AR153" s="1"/>
      <c r="AS153" s="1"/>
      <c r="AT153" s="1"/>
      <c r="AU153" s="1"/>
    </row>
    <row r="154" spans="30:47" ht="19.5" customHeight="1"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2"/>
      <c r="AO154" s="1"/>
      <c r="AP154" s="1"/>
      <c r="AQ154" s="1"/>
      <c r="AR154" s="1"/>
      <c r="AS154" s="1"/>
      <c r="AT154" s="1"/>
      <c r="AU154" s="1"/>
    </row>
    <row r="155" spans="30:47" ht="19.5" customHeight="1"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2"/>
      <c r="AO155" s="1"/>
      <c r="AP155" s="1"/>
      <c r="AQ155" s="1"/>
      <c r="AR155" s="1"/>
      <c r="AS155" s="1"/>
      <c r="AT155" s="1"/>
      <c r="AU155" s="1"/>
    </row>
    <row r="156" spans="30:47" ht="19.5" customHeight="1"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2"/>
      <c r="AO156" s="1"/>
      <c r="AP156" s="1"/>
      <c r="AQ156" s="1"/>
      <c r="AR156" s="1"/>
      <c r="AS156" s="1"/>
      <c r="AT156" s="1"/>
      <c r="AU156" s="1"/>
    </row>
    <row r="157" spans="30:47" ht="19.5" customHeight="1"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2"/>
      <c r="AO157" s="1"/>
      <c r="AP157" s="1"/>
      <c r="AQ157" s="1"/>
      <c r="AR157" s="1"/>
      <c r="AS157" s="1"/>
      <c r="AT157" s="1"/>
      <c r="AU157" s="1"/>
    </row>
    <row r="158" spans="30:47" ht="19.5" customHeight="1"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2"/>
      <c r="AO158" s="1"/>
      <c r="AP158" s="1"/>
      <c r="AQ158" s="1"/>
      <c r="AR158" s="1"/>
      <c r="AS158" s="1"/>
      <c r="AT158" s="1"/>
      <c r="AU158" s="1"/>
    </row>
    <row r="159" spans="30:47" ht="19.5" customHeight="1"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2"/>
      <c r="AO159" s="1"/>
      <c r="AP159" s="1"/>
      <c r="AQ159" s="1"/>
      <c r="AR159" s="1"/>
      <c r="AS159" s="1"/>
      <c r="AT159" s="1"/>
      <c r="AU159" s="1"/>
    </row>
    <row r="160" spans="30:47" ht="19.5" customHeight="1"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2"/>
      <c r="AO160" s="1"/>
      <c r="AP160" s="1"/>
      <c r="AQ160" s="1"/>
      <c r="AR160" s="1"/>
      <c r="AS160" s="1"/>
      <c r="AT160" s="1"/>
      <c r="AU160" s="1"/>
    </row>
    <row r="161" spans="30:47" ht="19.5" customHeight="1"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2"/>
      <c r="AO161" s="1"/>
      <c r="AP161" s="1"/>
      <c r="AQ161" s="1"/>
      <c r="AR161" s="1"/>
      <c r="AS161" s="1"/>
      <c r="AT161" s="1"/>
      <c r="AU161" s="1"/>
    </row>
    <row r="162" spans="30:47" ht="19.5" customHeight="1"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2"/>
      <c r="AO162" s="1"/>
      <c r="AP162" s="1"/>
      <c r="AQ162" s="1"/>
      <c r="AR162" s="1"/>
      <c r="AS162" s="1"/>
      <c r="AT162" s="1"/>
      <c r="AU162" s="1"/>
    </row>
    <row r="163" spans="30:47" ht="19.5" customHeight="1"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2"/>
      <c r="AO163" s="1"/>
      <c r="AP163" s="1"/>
      <c r="AQ163" s="1"/>
      <c r="AR163" s="1"/>
      <c r="AS163" s="1"/>
      <c r="AT163" s="1"/>
      <c r="AU163" s="1"/>
    </row>
    <row r="164" spans="30:47" ht="19.5" customHeight="1"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2"/>
      <c r="AO164" s="1"/>
      <c r="AP164" s="1"/>
      <c r="AQ164" s="1"/>
      <c r="AR164" s="1"/>
      <c r="AS164" s="1"/>
      <c r="AT164" s="1"/>
      <c r="AU164" s="1"/>
    </row>
    <row r="165" spans="30:47" ht="19.5" customHeight="1"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2"/>
      <c r="AO165" s="1"/>
      <c r="AP165" s="1"/>
      <c r="AQ165" s="1"/>
      <c r="AR165" s="1"/>
      <c r="AS165" s="1"/>
      <c r="AT165" s="1"/>
      <c r="AU165" s="1"/>
    </row>
    <row r="166" spans="30:47" ht="19.5" customHeight="1"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2"/>
      <c r="AO166" s="1"/>
      <c r="AP166" s="1"/>
      <c r="AQ166" s="1"/>
      <c r="AR166" s="1"/>
      <c r="AS166" s="1"/>
      <c r="AT166" s="1"/>
      <c r="AU166" s="1"/>
    </row>
    <row r="167" spans="30:47" ht="19.5" customHeight="1"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2"/>
      <c r="AO167" s="1"/>
      <c r="AP167" s="1"/>
      <c r="AQ167" s="1"/>
      <c r="AR167" s="1"/>
      <c r="AS167" s="1"/>
      <c r="AT167" s="1"/>
      <c r="AU167" s="1"/>
    </row>
    <row r="168" spans="30:47" ht="19.5" customHeight="1"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2"/>
      <c r="AO168" s="1"/>
      <c r="AP168" s="1"/>
      <c r="AQ168" s="1"/>
      <c r="AR168" s="1"/>
      <c r="AS168" s="1"/>
      <c r="AT168" s="1"/>
      <c r="AU168" s="1"/>
    </row>
    <row r="169" spans="30:47" ht="19.5" customHeight="1"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2"/>
      <c r="AO169" s="1"/>
      <c r="AP169" s="1"/>
      <c r="AQ169" s="1"/>
      <c r="AR169" s="1"/>
      <c r="AS169" s="1"/>
      <c r="AT169" s="1"/>
      <c r="AU169" s="1"/>
    </row>
    <row r="170" spans="30:47" ht="19.5" customHeight="1"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2"/>
      <c r="AO170" s="1"/>
      <c r="AP170" s="1"/>
      <c r="AQ170" s="1"/>
      <c r="AR170" s="1"/>
      <c r="AS170" s="1"/>
      <c r="AT170" s="1"/>
      <c r="AU170" s="1"/>
    </row>
    <row r="171" spans="30:47" ht="19.5" customHeight="1"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2"/>
      <c r="AO171" s="1"/>
      <c r="AP171" s="1"/>
      <c r="AQ171" s="1"/>
      <c r="AR171" s="1"/>
      <c r="AS171" s="1"/>
      <c r="AT171" s="1"/>
      <c r="AU171" s="1"/>
    </row>
    <row r="172" spans="30:47" ht="19.5" customHeight="1"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2"/>
      <c r="AO172" s="1"/>
      <c r="AP172" s="1"/>
      <c r="AQ172" s="1"/>
      <c r="AR172" s="1"/>
      <c r="AS172" s="1"/>
      <c r="AT172" s="1"/>
      <c r="AU172" s="1"/>
    </row>
    <row r="173" spans="30:47" ht="19.5" customHeight="1"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2"/>
      <c r="AO173" s="1"/>
      <c r="AP173" s="1"/>
      <c r="AQ173" s="1"/>
      <c r="AR173" s="1"/>
      <c r="AS173" s="1"/>
      <c r="AT173" s="1"/>
      <c r="AU173" s="1"/>
    </row>
    <row r="174" spans="30:47" ht="19.5" customHeight="1"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2"/>
      <c r="AO174" s="1"/>
      <c r="AP174" s="1"/>
      <c r="AQ174" s="1"/>
      <c r="AR174" s="1"/>
      <c r="AS174" s="1"/>
      <c r="AT174" s="1"/>
      <c r="AU174" s="1"/>
    </row>
    <row r="175" spans="30:47" ht="19.5" customHeight="1"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2"/>
      <c r="AO175" s="1"/>
      <c r="AP175" s="1"/>
      <c r="AQ175" s="1"/>
      <c r="AR175" s="1"/>
      <c r="AS175" s="1"/>
      <c r="AT175" s="1"/>
      <c r="AU175" s="1"/>
    </row>
    <row r="176" spans="30:47" ht="19.5" customHeight="1"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2"/>
      <c r="AO176" s="1"/>
      <c r="AP176" s="1"/>
      <c r="AQ176" s="1"/>
      <c r="AR176" s="1"/>
      <c r="AS176" s="1"/>
      <c r="AT176" s="1"/>
      <c r="AU176" s="1"/>
    </row>
    <row r="177" spans="30:47" ht="19.5" customHeight="1"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2"/>
      <c r="AO177" s="1"/>
      <c r="AP177" s="1"/>
      <c r="AQ177" s="1"/>
      <c r="AR177" s="1"/>
      <c r="AS177" s="1"/>
      <c r="AT177" s="1"/>
      <c r="AU177" s="1"/>
    </row>
    <row r="178" spans="30:47" ht="19.5" customHeight="1"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2"/>
      <c r="AO178" s="1"/>
      <c r="AP178" s="1"/>
      <c r="AQ178" s="1"/>
      <c r="AR178" s="1"/>
      <c r="AS178" s="1"/>
      <c r="AT178" s="1"/>
      <c r="AU178" s="1"/>
    </row>
    <row r="179" spans="30:47" ht="19.5" customHeight="1"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2"/>
      <c r="AO179" s="1"/>
      <c r="AP179" s="1"/>
      <c r="AQ179" s="1"/>
      <c r="AR179" s="1"/>
      <c r="AS179" s="1"/>
      <c r="AT179" s="1"/>
      <c r="AU179" s="1"/>
    </row>
    <row r="180" spans="30:47" ht="19.5" customHeight="1"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2"/>
      <c r="AO180" s="1"/>
      <c r="AP180" s="1"/>
      <c r="AQ180" s="1"/>
      <c r="AR180" s="1"/>
      <c r="AS180" s="1"/>
      <c r="AT180" s="1"/>
      <c r="AU180" s="1"/>
    </row>
    <row r="181" spans="30:47" ht="19.5" customHeight="1"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2"/>
      <c r="AO181" s="1"/>
      <c r="AP181" s="1"/>
      <c r="AQ181" s="1"/>
      <c r="AR181" s="1"/>
      <c r="AS181" s="1"/>
      <c r="AT181" s="1"/>
      <c r="AU181" s="1"/>
    </row>
    <row r="182" spans="30:47" ht="19.5" customHeight="1"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2"/>
      <c r="AO182" s="1"/>
      <c r="AP182" s="1"/>
      <c r="AQ182" s="1"/>
      <c r="AR182" s="1"/>
      <c r="AS182" s="1"/>
      <c r="AT182" s="1"/>
      <c r="AU182" s="1"/>
    </row>
    <row r="183" spans="30:45" ht="19.5" customHeight="1"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2"/>
      <c r="AO183" s="1"/>
      <c r="AP183" s="1"/>
      <c r="AQ183" s="1"/>
      <c r="AR183" s="1"/>
      <c r="AS183" s="1"/>
    </row>
    <row r="184" spans="30:45" ht="19.5" customHeight="1"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2"/>
      <c r="AO184" s="1"/>
      <c r="AP184" s="1"/>
      <c r="AQ184" s="1"/>
      <c r="AR184" s="1"/>
      <c r="AS184" s="1"/>
    </row>
    <row r="185" spans="30:45" ht="19.5" customHeight="1"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2"/>
      <c r="AO185" s="1"/>
      <c r="AP185" s="1"/>
      <c r="AQ185" s="1"/>
      <c r="AR185" s="1"/>
      <c r="AS185" s="1"/>
    </row>
    <row r="186" spans="30:45" ht="19.5" customHeight="1"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2"/>
      <c r="AO186" s="1"/>
      <c r="AP186" s="1"/>
      <c r="AQ186" s="1"/>
      <c r="AR186" s="1"/>
      <c r="AS186" s="1"/>
    </row>
    <row r="187" spans="30:45" ht="19.5" customHeight="1"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2"/>
      <c r="AO187" s="1"/>
      <c r="AP187" s="1"/>
      <c r="AQ187" s="1"/>
      <c r="AR187" s="1"/>
      <c r="AS187" s="1"/>
    </row>
    <row r="188" spans="30:45" ht="19.5" customHeight="1"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2"/>
      <c r="AO188" s="1"/>
      <c r="AP188" s="1"/>
      <c r="AQ188" s="1"/>
      <c r="AR188" s="1"/>
      <c r="AS188" s="1"/>
    </row>
    <row r="189" spans="30:45" ht="19.5" customHeight="1"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2"/>
      <c r="AO189" s="1"/>
      <c r="AP189" s="1"/>
      <c r="AQ189" s="1"/>
      <c r="AR189" s="1"/>
      <c r="AS189" s="1"/>
    </row>
    <row r="190" spans="30:45" ht="19.5" customHeight="1"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2"/>
      <c r="AO190" s="1"/>
      <c r="AP190" s="1"/>
      <c r="AQ190" s="1"/>
      <c r="AR190" s="1"/>
      <c r="AS190" s="1"/>
    </row>
    <row r="191" spans="30:45" ht="19.5" customHeight="1"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2"/>
      <c r="AO191" s="1"/>
      <c r="AP191" s="1"/>
      <c r="AQ191" s="1"/>
      <c r="AR191" s="1"/>
      <c r="AS191" s="1"/>
    </row>
    <row r="192" spans="30:45" ht="19.5" customHeight="1"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2"/>
      <c r="AO192" s="1"/>
      <c r="AP192" s="1"/>
      <c r="AQ192" s="1"/>
      <c r="AR192" s="1"/>
      <c r="AS192" s="1"/>
    </row>
    <row r="193" spans="30:45" ht="19.5" customHeight="1"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2"/>
      <c r="AO193" s="1"/>
      <c r="AP193" s="1"/>
      <c r="AQ193" s="1"/>
      <c r="AR193" s="1"/>
      <c r="AS193" s="1"/>
    </row>
    <row r="194" spans="30:45" ht="19.5" customHeight="1"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2"/>
      <c r="AO194" s="1"/>
      <c r="AP194" s="1"/>
      <c r="AQ194" s="1"/>
      <c r="AR194" s="1"/>
      <c r="AS194" s="1"/>
    </row>
    <row r="195" spans="30:45" ht="19.5" customHeight="1"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2"/>
      <c r="AO195" s="1"/>
      <c r="AP195" s="1"/>
      <c r="AQ195" s="1"/>
      <c r="AR195" s="1"/>
      <c r="AS195" s="1"/>
    </row>
    <row r="196" spans="30:45" ht="19.5" customHeight="1"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2"/>
      <c r="AO196" s="1"/>
      <c r="AP196" s="1"/>
      <c r="AQ196" s="1"/>
      <c r="AR196" s="1"/>
      <c r="AS196" s="1"/>
    </row>
    <row r="197" spans="30:45" ht="19.5" customHeight="1"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2"/>
      <c r="AO197" s="1"/>
      <c r="AP197" s="1"/>
      <c r="AQ197" s="1"/>
      <c r="AR197" s="1"/>
      <c r="AS197" s="1"/>
    </row>
    <row r="198" spans="30:45" ht="19.5" customHeight="1"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2"/>
      <c r="AO198" s="1"/>
      <c r="AP198" s="1"/>
      <c r="AQ198" s="1"/>
      <c r="AR198" s="1"/>
      <c r="AS198" s="1"/>
    </row>
    <row r="199" spans="30:45" ht="19.5" customHeight="1"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2"/>
      <c r="AO199" s="1"/>
      <c r="AP199" s="1"/>
      <c r="AQ199" s="1"/>
      <c r="AR199" s="1"/>
      <c r="AS199" s="1"/>
    </row>
    <row r="200" spans="30:45" ht="19.5" customHeight="1"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2"/>
      <c r="AO200" s="1"/>
      <c r="AP200" s="1"/>
      <c r="AQ200" s="1"/>
      <c r="AR200" s="1"/>
      <c r="AS200" s="1"/>
    </row>
    <row r="201" spans="30:45" ht="19.5" customHeight="1"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2"/>
      <c r="AO201" s="1"/>
      <c r="AP201" s="1"/>
      <c r="AQ201" s="1"/>
      <c r="AR201" s="1"/>
      <c r="AS201" s="1"/>
    </row>
    <row r="202" spans="30:45" ht="19.5" customHeight="1"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2"/>
      <c r="AO202" s="1"/>
      <c r="AP202" s="1"/>
      <c r="AQ202" s="1"/>
      <c r="AR202" s="1"/>
      <c r="AS202" s="1"/>
    </row>
    <row r="203" spans="30:45" ht="19.5" customHeight="1"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2"/>
      <c r="AO203" s="1"/>
      <c r="AP203" s="1"/>
      <c r="AQ203" s="1"/>
      <c r="AR203" s="1"/>
      <c r="AS203" s="1"/>
    </row>
    <row r="204" spans="30:45" ht="19.5" customHeight="1"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2"/>
      <c r="AO204" s="1"/>
      <c r="AP204" s="1"/>
      <c r="AQ204" s="1"/>
      <c r="AR204" s="1"/>
      <c r="AS204" s="1"/>
    </row>
    <row r="205" spans="30:45" ht="19.5" customHeight="1"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2"/>
      <c r="AO205" s="1"/>
      <c r="AP205" s="1"/>
      <c r="AQ205" s="1"/>
      <c r="AR205" s="1"/>
      <c r="AS205" s="1"/>
    </row>
    <row r="206" spans="30:45" ht="19.5" customHeight="1"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2"/>
      <c r="AO206" s="1"/>
      <c r="AP206" s="1"/>
      <c r="AQ206" s="1"/>
      <c r="AR206" s="1"/>
      <c r="AS206" s="1"/>
    </row>
    <row r="207" spans="30:45" ht="19.5" customHeight="1"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2"/>
      <c r="AO207" s="1"/>
      <c r="AP207" s="1"/>
      <c r="AQ207" s="1"/>
      <c r="AR207" s="1"/>
      <c r="AS207" s="1"/>
    </row>
    <row r="208" spans="30:45" ht="19.5" customHeight="1"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2"/>
      <c r="AO208" s="1"/>
      <c r="AP208" s="1"/>
      <c r="AQ208" s="1"/>
      <c r="AR208" s="1"/>
      <c r="AS208" s="1"/>
    </row>
    <row r="209" spans="30:45" ht="19.5" customHeight="1"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2"/>
      <c r="AO209" s="1"/>
      <c r="AP209" s="1"/>
      <c r="AQ209" s="1"/>
      <c r="AR209" s="1"/>
      <c r="AS209" s="1"/>
    </row>
    <row r="210" spans="30:45" ht="19.5" customHeight="1"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2"/>
      <c r="AO210" s="1"/>
      <c r="AP210" s="1"/>
      <c r="AQ210" s="1"/>
      <c r="AR210" s="1"/>
      <c r="AS210" s="1"/>
    </row>
    <row r="211" spans="30:45" ht="19.5" customHeight="1"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2"/>
      <c r="AO211" s="1"/>
      <c r="AP211" s="1"/>
      <c r="AQ211" s="1"/>
      <c r="AR211" s="1"/>
      <c r="AS211" s="1"/>
    </row>
    <row r="212" spans="30:45" ht="19.5" customHeight="1"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2"/>
      <c r="AO212" s="1"/>
      <c r="AP212" s="1"/>
      <c r="AQ212" s="1"/>
      <c r="AR212" s="1"/>
      <c r="AS212" s="1"/>
    </row>
    <row r="213" spans="30:45" ht="19.5" customHeight="1"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2"/>
      <c r="AO213" s="1"/>
      <c r="AP213" s="1"/>
      <c r="AQ213" s="1"/>
      <c r="AR213" s="1"/>
      <c r="AS213" s="1"/>
    </row>
    <row r="214" spans="30:45" ht="19.5" customHeight="1"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2"/>
      <c r="AO214" s="1"/>
      <c r="AP214" s="1"/>
      <c r="AQ214" s="1"/>
      <c r="AR214" s="1"/>
      <c r="AS214" s="1"/>
    </row>
    <row r="215" spans="30:45" ht="19.5" customHeight="1"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2"/>
      <c r="AO215" s="1"/>
      <c r="AP215" s="1"/>
      <c r="AQ215" s="1"/>
      <c r="AR215" s="1"/>
      <c r="AS215" s="1"/>
    </row>
  </sheetData>
  <sheetProtection/>
  <mergeCells count="83">
    <mergeCell ref="G2:J2"/>
    <mergeCell ref="G16:J16"/>
    <mergeCell ref="B3:E3"/>
    <mergeCell ref="F3:I3"/>
    <mergeCell ref="A58:H58"/>
    <mergeCell ref="K16:N16"/>
    <mergeCell ref="K2:N2"/>
    <mergeCell ref="Y16:AD16"/>
    <mergeCell ref="AD3:AG3"/>
    <mergeCell ref="R3:U3"/>
    <mergeCell ref="E67:F67"/>
    <mergeCell ref="J67:K67"/>
    <mergeCell ref="G60:H60"/>
    <mergeCell ref="B45:E45"/>
    <mergeCell ref="B17:E17"/>
    <mergeCell ref="J3:M3"/>
    <mergeCell ref="N3:Q3"/>
    <mergeCell ref="O2:S2"/>
    <mergeCell ref="U2:X2"/>
    <mergeCell ref="Y2:AD2"/>
    <mergeCell ref="B63:C66"/>
    <mergeCell ref="F63:G66"/>
    <mergeCell ref="AD60:AE63"/>
    <mergeCell ref="T60:U63"/>
    <mergeCell ref="R58:S60"/>
    <mergeCell ref="P66:AQ66"/>
    <mergeCell ref="M63:N66"/>
    <mergeCell ref="AP31:AS31"/>
    <mergeCell ref="F45:I45"/>
    <mergeCell ref="J45:M45"/>
    <mergeCell ref="AH45:AK45"/>
    <mergeCell ref="K44:N44"/>
    <mergeCell ref="Z45:AC45"/>
    <mergeCell ref="U44:X44"/>
    <mergeCell ref="AP45:AS45"/>
    <mergeCell ref="Y44:AD44"/>
    <mergeCell ref="AD45:AG45"/>
    <mergeCell ref="AH3:AK3"/>
    <mergeCell ref="I63:J66"/>
    <mergeCell ref="N45:Q45"/>
    <mergeCell ref="V58:W60"/>
    <mergeCell ref="X60:Y63"/>
    <mergeCell ref="P60:Q63"/>
    <mergeCell ref="R45:U45"/>
    <mergeCell ref="V45:Y45"/>
    <mergeCell ref="G44:J44"/>
    <mergeCell ref="AH31:AK31"/>
    <mergeCell ref="AR2:AS2"/>
    <mergeCell ref="AR16:AS16"/>
    <mergeCell ref="AR30:AS30"/>
    <mergeCell ref="AL17:AO17"/>
    <mergeCell ref="AP17:AS17"/>
    <mergeCell ref="AP3:AS3"/>
    <mergeCell ref="AR44:AS44"/>
    <mergeCell ref="AL3:AO3"/>
    <mergeCell ref="B31:E31"/>
    <mergeCell ref="F31:I31"/>
    <mergeCell ref="J17:M17"/>
    <mergeCell ref="G30:J30"/>
    <mergeCell ref="V3:Y3"/>
    <mergeCell ref="F17:I17"/>
    <mergeCell ref="Y30:AD30"/>
    <mergeCell ref="Z3:AC3"/>
    <mergeCell ref="AH17:AK17"/>
    <mergeCell ref="R31:U31"/>
    <mergeCell ref="O16:S16"/>
    <mergeCell ref="U16:X16"/>
    <mergeCell ref="V17:Y17"/>
    <mergeCell ref="Z17:AC17"/>
    <mergeCell ref="R17:U17"/>
    <mergeCell ref="AD17:AG17"/>
    <mergeCell ref="Z31:AC31"/>
    <mergeCell ref="N17:Q17"/>
    <mergeCell ref="AL45:AO45"/>
    <mergeCell ref="O44:S44"/>
    <mergeCell ref="AL31:AO31"/>
    <mergeCell ref="O30:S30"/>
    <mergeCell ref="U30:X30"/>
    <mergeCell ref="J31:M31"/>
    <mergeCell ref="N31:Q31"/>
    <mergeCell ref="K30:N30"/>
    <mergeCell ref="AD31:AG31"/>
    <mergeCell ref="V31:Y31"/>
  </mergeCells>
  <conditionalFormatting sqref="S8 K6 W9 G5 O7 AQ14 AM13 AA38:AA41 K34 W37 G33 O35 AQ28 K20:K21 C32 S36 C4 W23 G19 AA24 AA10:AA12 S50 AQ42 AE25:AE26 C18 S22 AM27 AA52:AA55 K48 W51 G47 O49 AM41 C46 AQ56 AM55">
    <cfRule type="cellIs" priority="24" dxfId="124" operator="greaterThanOrEqual" stopIfTrue="1">
      <formula>E4</formula>
    </cfRule>
    <cfRule type="cellIs" priority="25" dxfId="125" operator="lessThanOrEqual" stopIfTrue="1">
      <formula>E4</formula>
    </cfRule>
  </conditionalFormatting>
  <conditionalFormatting sqref="U8 M6 Y9 I5 Q7 AS14 AO13 AC38:AC41 M34 Y37 I33 Q35 AS28 M20:M21 E32 U36 E4 Y23 I19 AC24 AC10:AC12 U50 AG25:AG26 AS42 E18 U22 AO27 AC52:AC55 M48 Y51 I47 Q49 AO41 E46 AS56 AO55">
    <cfRule type="cellIs" priority="26" dxfId="124" operator="lessThanOrEqual" stopIfTrue="1">
      <formula>C4</formula>
    </cfRule>
    <cfRule type="cellIs" priority="27" dxfId="125" operator="greaterThanOrEqual" stopIfTrue="1">
      <formula>C4</formula>
    </cfRule>
  </conditionalFormatting>
  <conditionalFormatting sqref="I4 M4:M5 Q4:Q6 U4:U7 Y4:Y8 AC4:AC9 AC13:AC14 AO14 I18 M18:M19 M22:M28 AG27:AG28 AG4:AG14 AC25:AC28 Y24:Y28 U23:U28 E5:E14 I32 M32:M33 Q32:Q34 U32:U35 Y32:Y36 AC32:AC37 AC42 E19:E28 AO18:AO26 I34:I42 M35:M42 Q36:Q42 U37:U42 Y38:Y42 AK46:AK53 E33:E42 AK4:AK11 AO32:AO40 I6:I14 M7:M14 Q8:Q14 U9:U14 Y10:Y14 AO4:AO12 U18:U21 Q18:Q28 I20:I28 AH12:AK14 AS32:AS41 AS4:AS13 AC18:AC23 Y18:Y22 AS18:AS27 I46 M46:M47 Q46:Q48 U46:U49 Y46:Y50 AC46:AC51 AC56 AH40:AK42 I48:I56 M49:M56 U51:U56 Y52:Y56 AG32:AG42 E47:E56 AO28 AG18:AG24 AO42 AK32:AK39 AO46:AO54 AK28 AH54:AK56 AG46:AG56 AO56 AH26:AH28 AI28 AI26 AJ26:AJ28 AK18:AK26 AS46:AS55 Q50:Q56">
    <cfRule type="cellIs" priority="28" dxfId="124" operator="lessThan" stopIfTrue="1">
      <formula>C4</formula>
    </cfRule>
    <cfRule type="cellIs" priority="29" dxfId="125" operator="greaterThan" stopIfTrue="1">
      <formula>C4</formula>
    </cfRule>
    <cfRule type="cellIs" priority="30" dxfId="126" operator="equal" stopIfTrue="1">
      <formula>C4</formula>
    </cfRule>
  </conditionalFormatting>
  <conditionalFormatting sqref="G4 K4:K5 O4:O6 S4:S7 W4:W8 AA4:AA9 AA13:AA14 AM14 G18 K18:K19 K22:K28 AI32:AI39 AE27:AE28 AA25:AA28 W24:W28 S23:S28 AI4:AI11 G32 K32:K33 O32:O34 S32:S35 W32:W36 AA32:AA37 AA42 S18:S21 C33:C42 G34:G42 K35:K42 O36:O42 S37:S42 W38:W42 AM18:AM26 AQ18:AQ27 AE4:AE14 C5:C14 G6:G14 K7:K14 O8:O14 S9:S14 W10:W14 AM4:AM12 O18:O28 C19:C28 G20:G28 AM32:AM40 AQ4:AQ13 AQ32:AQ41 AA18:AA23 W18:W22 AE18:AE24 G46 K46:K47 O46:O48 S46:S49 W46:W50 AA46:AA51 AA56 C47:C56 G48:G56 K49:K56 O50:O56 S51:S56 W52:W56 AE32:AE42 AM28 AI18:AI25 AM42 AI46:AI53 AM46:AM54 AM56 AE46:AE56 AQ46:AQ55">
    <cfRule type="cellIs" priority="31" dxfId="124" operator="greaterThan" stopIfTrue="1">
      <formula>E4</formula>
    </cfRule>
    <cfRule type="cellIs" priority="32" dxfId="125" operator="lessThan" stopIfTrue="1">
      <formula>E4</formula>
    </cfRule>
    <cfRule type="cellIs" priority="33" dxfId="126" operator="equal" stopIfTrue="1">
      <formula>E4</formula>
    </cfRule>
  </conditionalFormatting>
  <conditionalFormatting sqref="AI55">
    <cfRule type="cellIs" priority="21" dxfId="124" operator="greaterThan" stopIfTrue="1">
      <formula>AK55</formula>
    </cfRule>
    <cfRule type="cellIs" priority="22" dxfId="125" operator="lessThan" stopIfTrue="1">
      <formula>AK55</formula>
    </cfRule>
    <cfRule type="cellIs" priority="23" dxfId="126" operator="equal" stopIfTrue="1">
      <formula>AK55</formula>
    </cfRule>
  </conditionalFormatting>
  <conditionalFormatting sqref="AI27">
    <cfRule type="cellIs" priority="47" dxfId="124" operator="greaterThan" stopIfTrue="1">
      <formula>AK27</formula>
    </cfRule>
    <cfRule type="cellIs" priority="48" dxfId="125" operator="greaterThan" stopIfTrue="1">
      <formula>AK27</formula>
    </cfRule>
    <cfRule type="cellIs" priority="49" dxfId="126" operator="equal" stopIfTrue="1">
      <formula>AK27</formula>
    </cfRule>
  </conditionalFormatting>
  <conditionalFormatting sqref="AK27">
    <cfRule type="cellIs" priority="50" dxfId="124" operator="lessThan" stopIfTrue="1">
      <formula>AI27</formula>
    </cfRule>
    <cfRule type="cellIs" priority="51" dxfId="125" operator="lessThan" stopIfTrue="1">
      <formula>AI27</formula>
    </cfRule>
    <cfRule type="cellIs" priority="52" dxfId="126" operator="equal" stopIfTrue="1">
      <formula>AI27</formula>
    </cfRule>
  </conditionalFormatting>
  <conditionalFormatting sqref="AA53">
    <cfRule type="cellIs" priority="18" dxfId="124" operator="greaterThan" stopIfTrue="1">
      <formula>AC53</formula>
    </cfRule>
    <cfRule type="cellIs" priority="19" dxfId="125" operator="lessThan" stopIfTrue="1">
      <formula>AC53</formula>
    </cfRule>
    <cfRule type="cellIs" priority="20" dxfId="126" operator="equal" stopIfTrue="1">
      <formula>AC53</formula>
    </cfRule>
  </conditionalFormatting>
  <conditionalFormatting sqref="AC53">
    <cfRule type="cellIs" priority="16" dxfId="124" operator="greaterThanOrEqual" stopIfTrue="1">
      <formula>AE53</formula>
    </cfRule>
    <cfRule type="cellIs" priority="17" dxfId="125" operator="lessThanOrEqual" stopIfTrue="1">
      <formula>AE53</formula>
    </cfRule>
  </conditionalFormatting>
  <conditionalFormatting sqref="AC53">
    <cfRule type="cellIs" priority="13" dxfId="124" operator="greaterThan" stopIfTrue="1">
      <formula>AE53</formula>
    </cfRule>
    <cfRule type="cellIs" priority="14" dxfId="125" operator="lessThan" stopIfTrue="1">
      <formula>AE53</formula>
    </cfRule>
    <cfRule type="cellIs" priority="15" dxfId="126" operator="equal" stopIfTrue="1">
      <formula>AE53</formula>
    </cfRule>
  </conditionalFormatting>
  <conditionalFormatting sqref="AC53">
    <cfRule type="cellIs" priority="10" dxfId="124" operator="lessThan" stopIfTrue="1">
      <formula>AA53</formula>
    </cfRule>
    <cfRule type="cellIs" priority="11" dxfId="125" operator="greaterThan" stopIfTrue="1">
      <formula>AA53</formula>
    </cfRule>
    <cfRule type="cellIs" priority="12" dxfId="126" operator="equal" stopIfTrue="1">
      <formula>AA53</formula>
    </cfRule>
  </conditionalFormatting>
  <conditionalFormatting sqref="AI13">
    <cfRule type="cellIs" priority="7" dxfId="124" operator="greaterThan" stopIfTrue="1">
      <formula>AK13</formula>
    </cfRule>
    <cfRule type="cellIs" priority="8" dxfId="125" operator="lessThan" stopIfTrue="1">
      <formula>AK13</formula>
    </cfRule>
    <cfRule type="cellIs" priority="9" dxfId="126" operator="equal" stopIfTrue="1">
      <formula>AK13</formula>
    </cfRule>
  </conditionalFormatting>
  <conditionalFormatting sqref="AI27">
    <cfRule type="cellIs" priority="4" dxfId="124" operator="greaterThan" stopIfTrue="1">
      <formula>AK27</formula>
    </cfRule>
    <cfRule type="cellIs" priority="5" dxfId="125" operator="lessThan" stopIfTrue="1">
      <formula>AK27</formula>
    </cfRule>
    <cfRule type="cellIs" priority="6" dxfId="126" operator="equal" stopIfTrue="1">
      <formula>AK27</formula>
    </cfRule>
  </conditionalFormatting>
  <conditionalFormatting sqref="AK27">
    <cfRule type="cellIs" priority="1" dxfId="124" operator="lessThan" stopIfTrue="1">
      <formula>AI27</formula>
    </cfRule>
    <cfRule type="cellIs" priority="2" dxfId="125" operator="greaterThan" stopIfTrue="1">
      <formula>AI27</formula>
    </cfRule>
    <cfRule type="cellIs" priority="3" dxfId="126" operator="equal" stopIfTrue="1">
      <formula>AI27</formula>
    </cfRule>
  </conditionalFormatting>
  <printOptions horizontalCentered="1"/>
  <pageMargins left="0.3937007874015748" right="0.3937007874015748" top="0.984251968503937" bottom="0.5511811023622047" header="0.5118110236220472" footer="0.5118110236220472"/>
  <pageSetup cellComments="asDisplayed" horizontalDpi="300" verticalDpi="300" orientation="landscape" paperSize="8" scale="70" r:id="rId4"/>
  <headerFooter alignWithMargins="0">
    <oddHeader>&amp;C２０１２年小金原地区近隣大会Ｃ戦組み合わせ表</oddHeader>
  </headerFooter>
  <rowBreaks count="1" manualBreakCount="1">
    <brk id="29" max="54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小野塚</dc:creator>
  <cp:keywords/>
  <dc:description/>
  <cp:lastModifiedBy>Your User Name</cp:lastModifiedBy>
  <cp:lastPrinted>2012-06-24T23:50:39Z</cp:lastPrinted>
  <dcterms:created xsi:type="dcterms:W3CDTF">2005-06-02T07:14:57Z</dcterms:created>
  <dcterms:modified xsi:type="dcterms:W3CDTF">2012-12-25T02:03:02Z</dcterms:modified>
  <cp:category/>
  <cp:version/>
  <cp:contentType/>
  <cp:contentStatus/>
</cp:coreProperties>
</file>